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yj2djq/8J6rXS6p3EgGcRbapzsfVWBTDlxQ0Sx0spL9yXG3IYpwTJIkdfblRQe3uzMyKnQ68aoUzKmhuHHpp7Q==" workbookSaltValue="aTzYD5EvGkiMWqfTh79b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E9" i="13" s="1"/>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C13" i="13"/>
  <c r="BK19" i="13"/>
  <c r="ER19" i="8"/>
  <c r="EL19" i="8"/>
  <c r="EQ19" i="8"/>
  <c r="B10" i="6"/>
  <c r="ES19" i="8"/>
  <c r="BH19" i="13"/>
  <c r="R8" i="9"/>
  <c r="X12" i="21" s="1"/>
  <c r="EP19" i="8"/>
  <c r="EP19" i="19"/>
  <c r="T17" i="11"/>
  <c r="BH9" i="16"/>
  <c r="BJ17" i="11"/>
  <c r="BH15" i="11"/>
  <c r="BH15" i="16"/>
  <c r="Q17" i="20"/>
  <c r="Q18" i="20" s="1"/>
  <c r="V11" i="16"/>
  <c r="BF17" i="11"/>
  <c r="BF16" i="11"/>
  <c r="S17" i="16"/>
  <c r="BL12" i="11"/>
  <c r="AT17" i="20"/>
  <c r="V17" i="16"/>
  <c r="M13" i="2"/>
  <c r="H13" i="12"/>
  <c r="T13" i="12"/>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T13" i="16"/>
  <c r="AZ16" i="11"/>
  <c r="T16" i="11"/>
  <c r="S15" i="16"/>
  <c r="P15" i="17"/>
  <c r="BF12" i="11"/>
  <c r="BL15" i="11"/>
  <c r="BL10" i="11"/>
  <c r="BH10" i="16"/>
  <c r="Q15" i="17"/>
  <c r="BM17" i="11"/>
  <c r="BF15" i="11"/>
  <c r="BM9" i="11"/>
  <c r="BH12" i="16"/>
  <c r="BK10" i="11"/>
  <c r="T13" i="20"/>
  <c r="J18" i="17"/>
  <c r="L15" i="2"/>
  <c r="V10" i="16"/>
  <c r="V9" i="16"/>
  <c r="BG15" i="13"/>
  <c r="BA18" i="13"/>
  <c r="BE15" i="13"/>
  <c r="AH20" i="20"/>
  <c r="AL20" i="20"/>
  <c r="AB20" i="20"/>
  <c r="AN20" i="20"/>
  <c r="U10" i="11"/>
  <c r="AO20" i="20"/>
  <c r="Y20" i="20"/>
  <c r="BF17" i="8" l="1"/>
  <c r="C17" i="6"/>
  <c r="AY18" i="8"/>
  <c r="BF16" i="8"/>
  <c r="T19" i="8"/>
  <c r="AC10" i="11"/>
  <c r="AL9" i="11"/>
  <c r="N13" i="2"/>
  <c r="F9" i="2"/>
  <c r="AL12" i="11"/>
  <c r="H12" i="7"/>
  <c r="BD11" i="13"/>
  <c r="L9" i="2"/>
  <c r="U9" i="17"/>
  <c r="U19" i="17" s="1"/>
  <c r="L16" i="2"/>
  <c r="BL16" i="11"/>
  <c r="BJ16" i="11"/>
  <c r="AQ12" i="21"/>
  <c r="BH16" i="11"/>
  <c r="BG16" i="11"/>
  <c r="BH11" i="11"/>
  <c r="BK16" i="11"/>
  <c r="BJ10" i="11"/>
  <c r="AQ10" i="21"/>
  <c r="BI9" i="11"/>
  <c r="BH10" i="11"/>
  <c r="Q17" i="17"/>
  <c r="BG12" i="11"/>
  <c r="AZ12" i="11"/>
  <c r="BU12" i="17"/>
  <c r="V12" i="16"/>
  <c r="BW10" i="20"/>
  <c r="U10" i="17"/>
  <c r="BW11" i="20"/>
  <c r="BV11" i="16"/>
  <c r="BW12" i="20"/>
  <c r="BV12" i="16"/>
  <c r="BU10" i="17"/>
  <c r="BV17" i="16"/>
  <c r="BU11" i="17"/>
  <c r="T15" i="16"/>
  <c r="T17" i="16"/>
  <c r="BM15" i="11"/>
  <c r="BH17" i="11"/>
  <c r="BL11" i="11"/>
  <c r="BG9" i="11"/>
  <c r="BI17" i="11"/>
  <c r="R10" i="21"/>
  <c r="R13" i="21" s="1"/>
  <c r="BJ11" i="11"/>
  <c r="V9" i="11"/>
  <c r="Q10" i="21"/>
  <c r="BI10" i="11"/>
  <c r="V11" i="11"/>
  <c r="BK15" i="11"/>
  <c r="BK9" i="11"/>
  <c r="BF10" i="11"/>
  <c r="BK12" i="11"/>
  <c r="BL17" i="11"/>
  <c r="P17" i="17"/>
  <c r="BM16" i="11"/>
  <c r="BG10" i="11"/>
  <c r="BH17" i="16"/>
  <c r="V15" i="11"/>
  <c r="AP16" i="20"/>
  <c r="BG15" i="8"/>
  <c r="K15" i="7" s="1"/>
  <c r="BD16" i="8"/>
  <c r="C10" i="6"/>
  <c r="AO17" i="11"/>
  <c r="L16" i="14"/>
  <c r="L17" i="14"/>
  <c r="F15" i="17"/>
  <c r="AQ15" i="17" s="1"/>
  <c r="BF9" i="8"/>
  <c r="J9" i="7" s="1"/>
  <c r="E12" i="6"/>
  <c r="AO12" i="11"/>
  <c r="H12" i="2"/>
  <c r="AY13" i="8"/>
  <c r="L9" i="14"/>
  <c r="L12" i="14"/>
  <c r="AY13" i="13"/>
  <c r="BA13" i="13"/>
  <c r="BE13" i="13" s="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L9" i="11"/>
  <c r="BH11" i="16"/>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I18" i="2"/>
  <c r="AM15" i="11"/>
  <c r="E11" i="6"/>
  <c r="I13" i="2"/>
  <c r="C9" i="6"/>
  <c r="F17" i="2"/>
  <c r="J15" i="2"/>
  <c r="BE9" i="8"/>
  <c r="BD15" i="8"/>
  <c r="H15" i="7" s="1"/>
  <c r="AO16" i="17"/>
  <c r="AM12" i="11"/>
  <c r="D17" i="2"/>
  <c r="AM16" i="11"/>
  <c r="L19" i="8"/>
  <c r="J12" i="2"/>
  <c r="E18" i="12"/>
  <c r="B18" i="2"/>
  <c r="G17" i="3"/>
  <c r="I10" i="3"/>
  <c r="D13" i="5"/>
  <c r="BF11" i="8"/>
  <c r="BE12" i="8"/>
  <c r="I12" i="7" s="1"/>
  <c r="BE15" i="8"/>
  <c r="AO17" i="17"/>
  <c r="AO15" i="17"/>
  <c r="C16" i="6"/>
  <c r="U19" i="8"/>
  <c r="Y19" i="8"/>
  <c r="AI19" i="8"/>
  <c r="BK19" i="8"/>
  <c r="B11" i="6"/>
  <c r="C12" i="14"/>
  <c r="K12" i="14" s="1"/>
  <c r="AZ13" i="11"/>
  <c r="K18" i="11"/>
  <c r="E9" i="6"/>
  <c r="K9" i="12" s="1"/>
  <c r="I9" i="7"/>
  <c r="H9" i="7"/>
  <c r="K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U16" i="11"/>
  <c r="AE20" i="20"/>
  <c r="AU20" i="20"/>
  <c r="AF20" i="20"/>
  <c r="F20" i="20"/>
  <c r="AK20" i="20"/>
  <c r="W20" i="21"/>
  <c r="AV20" i="20"/>
  <c r="AQ20" i="21"/>
  <c r="K20" i="20"/>
  <c r="AD20" i="20"/>
  <c r="AJ20" i="20"/>
  <c r="J20" i="20"/>
  <c r="O16" i="11"/>
  <c r="AG20" i="20"/>
  <c r="U12" i="11"/>
  <c r="S20" i="20"/>
  <c r="Z20" i="20"/>
  <c r="G18" i="14"/>
  <c r="X20" i="20"/>
  <c r="J18" i="2" l="1"/>
  <c r="F13" i="2"/>
  <c r="C13" i="6"/>
  <c r="J13" i="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X20" i="20"/>
  <c r="O17" i="11"/>
  <c r="L20" i="20"/>
  <c r="O10" i="11"/>
  <c r="U17" i="11"/>
  <c r="H20" i="17"/>
  <c r="B19" i="7" l="1"/>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R20" i="16"/>
  <c r="H20" i="11"/>
  <c r="F20" i="17"/>
  <c r="AQ20" i="16"/>
  <c r="AF20" i="11"/>
  <c r="W20" i="17"/>
  <c r="AO20" i="11"/>
  <c r="E20" i="21"/>
  <c r="AS20" i="16"/>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AC20" i="21"/>
  <c r="U20" i="17"/>
  <c r="BJ20" i="16"/>
  <c r="AW20" i="21"/>
  <c r="BB20" i="16"/>
  <c r="L20" i="16"/>
  <c r="AF20" i="21"/>
  <c r="P20" i="16"/>
  <c r="N20" i="16"/>
  <c r="AG20" i="21"/>
  <c r="AL20" i="17"/>
  <c r="BM20" i="16"/>
  <c r="AM20" i="11"/>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<sst xmlns="http://schemas.openxmlformats.org/spreadsheetml/2006/main" count="2102" uniqueCount="917">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</sst>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gB1OYBbuKgMCaLIMDIxlGkov6zxoBRfP7fEya/iMps4WpL+lgO+IRUdvIGSk12te4JQqlQJzafG8qmwgf6JSw==" saltValue="hDduIinJrF6Yu0YOafE+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1</v>
      </c>
      <c r="F10" s="226">
        <f>IF(ISNUMBER(Datos!K10),Datos!K10," - ")</f>
        <v>0</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79.467948717948715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1904</v>
      </c>
      <c r="D16" s="225">
        <f>IF(ISNUMBER(IF(D_I="SI",Datos!I16,Datos!I16+Datos!AC16)),IF(D_I="SI",Datos!I16,Datos!I16+Datos!AC16)," - ")</f>
        <v>1904</v>
      </c>
      <c r="E16" s="226">
        <f>IF(ISNUMBER(IF(D_I="SI",Datos!J16,Datos!J16+Datos!AD16)),IF(D_I="SI",Datos!J16,Datos!J16+Datos!AD16)," - ")</f>
        <v>748</v>
      </c>
      <c r="F16" s="226">
        <f>IF(ISNUMBER(IF(D_I="SI",Datos!K16,Datos!K16+Datos!AE16)),IF(D_I="SI",Datos!K16,Datos!K16+Datos!AE16)," - ")</f>
        <v>518</v>
      </c>
      <c r="G16" s="1034" t="str">
        <f>IF(Datos!E16&lt;&gt;"",Datos!E16,Datos!D16)</f>
        <v>04</v>
      </c>
      <c r="H16" s="227">
        <f>IF(ISNUMBER(IF(D_I="SI",Datos!L16,Datos!L16+Datos!AF16)),IF(D_I="SI",Datos!L16,Datos!L16+Datos!AF16)," - ")</f>
        <v>2134</v>
      </c>
      <c r="I16" s="1044" t="str">
        <f>IF(ISNUMBER(Datos!AS16/Datos!BM16),Datos!AS16/Datos!BM16," - ")</f>
        <v xml:space="preserve"> - </v>
      </c>
      <c r="J16" s="1045">
        <f>IF(ISNUMBER(Datos!BY16/Datos!CN16),Datos!BY16/Datos!CN16," - ")</f>
        <v>0</v>
      </c>
      <c r="K16" s="230">
        <f t="shared" si="3"/>
        <v>0.12079831932773109</v>
      </c>
      <c r="L16" s="1025">
        <f>IF(ISNUMBER(NºAsuntos!I16/NºAsuntos!G16),(NºAsuntos!I16/NºAsuntos!G16)*11," - ")</f>
        <v>45.316602316602314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173</v>
      </c>
      <c r="D17" s="225">
        <f>IF(ISNUMBER(IF(D_I="SI",Datos!I17,Datos!I17+Datos!AC17)),IF(D_I="SI",Datos!I17,Datos!I17+Datos!AC17)," - ")</f>
        <v>173</v>
      </c>
      <c r="E17" s="226">
        <f>IF(ISNUMBER(IF(D_I="SI",Datos!J17,Datos!J17+Datos!AD17)),IF(D_I="SI",Datos!J17,Datos!J17+Datos!AD17)," - ")</f>
        <v>73</v>
      </c>
      <c r="F17" s="226">
        <f>IF(ISNUMBER(IF(D_I="SI",Datos!K17,Datos!K17+Datos!AE17)),IF(D_I="SI",Datos!K17,Datos!K17+Datos!AE17)," - ")</f>
        <v>49</v>
      </c>
      <c r="G17" s="1034" t="str">
        <f>IF(Datos!E17&lt;&gt;"",Datos!E17,Datos!D17)</f>
        <v>37</v>
      </c>
      <c r="H17" s="227">
        <f>IF(ISNUMBER(IF(D_I="SI",Datos!L17,Datos!L17+Datos!AF17)),IF(D_I="SI",Datos!L17,Datos!L17+Datos!AF17)," - ")</f>
        <v>197</v>
      </c>
      <c r="I17" s="1044" t="str">
        <f>IF(ISNUMBER(Datos!AS17/Datos!BM17),Datos!AS17/Datos!BM17," - ")</f>
        <v xml:space="preserve"> - </v>
      </c>
      <c r="J17" s="1045" t="str">
        <f>IF(ISNUMBER((Datos!BY17+Datos!BZ17)/Datos!CN17),(Datos!BY17+Datos!BZ17)/Datos!CN17," - ")</f>
        <v xml:space="preserve"> - </v>
      </c>
      <c r="K17" s="230">
        <f t="shared" si="3"/>
        <v>0.13872832369942195</v>
      </c>
      <c r="L17" s="1025">
        <f>IF(ISNUMBER(NºAsuntos!I17/NºAsuntos!G17),(NºAsuntos!I17/NºAsuntos!G17)*11," - ")</f>
        <v>44.224489795918366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2077</v>
      </c>
      <c r="D18" s="1049">
        <f>SUBTOTAL(9,D15:D17)</f>
        <v>2077</v>
      </c>
      <c r="E18" s="1050">
        <f>SUBTOTAL(9,E15:E17)</f>
        <v>821</v>
      </c>
      <c r="F18" s="1050">
        <f>SUBTOTAL(9,F15:F17)</f>
        <v>567</v>
      </c>
      <c r="G18" s="1052" t="str">
        <f ca="1">INDIRECT(CONCATENATE("G",ROW()-1))</f>
        <v>37</v>
      </c>
      <c r="H18" s="1053">
        <f ca="1">SUMIF(G$14:G17,G18,H$14:H17)</f>
        <v>197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2078</v>
      </c>
      <c r="D19" s="1071">
        <f>SUBTOTAL(9,D9:D18)</f>
        <v>2078</v>
      </c>
      <c r="E19" s="1072">
        <f>SUBTOTAL(9,E9:E18)</f>
        <v>822</v>
      </c>
      <c r="F19" s="1072">
        <f>SUBTOTAL(9,F9:F18)</f>
        <v>567</v>
      </c>
      <c r="G19" s="1073"/>
      <c r="H19" s="1074">
        <f ca="1">SUMIF(B9:B18,"TOTAL",H9:H18)</f>
        <v>197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3j0GelWLM+r7eMWZWWsDYt+njglsbSop2btIYryJbik84NksDN/EjcyWFNDGTjx1jDUum9CtE20EBNP6uF4wUA==" saltValue="Sy8v1ysyHtlHOXqoKeqMp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6QDIvSKxRW94KjUBRnGiusBuCuWV4B1wEP/G/o2piTChD2TMnlL/6F90pZ4g/ruZD0q6GZYfsocYiQf/U9yNA==" saltValue="1qsaBPT7NhlUFGOTp303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1</v>
      </c>
      <c r="K10" s="181">
        <v>0</v>
      </c>
      <c r="L10" s="181">
        <v>2</v>
      </c>
      <c r="M10" s="181">
        <v>0</v>
      </c>
      <c r="N10" s="181">
        <v>0</v>
      </c>
      <c r="O10" s="181">
        <v>0</v>
      </c>
      <c r="P10" s="181">
        <v>0</v>
      </c>
      <c r="Q10" s="181">
        <v>0</v>
      </c>
      <c r="R10" s="181">
        <v>0</v>
      </c>
      <c r="S10" s="181">
        <v>0</v>
      </c>
      <c r="T10" s="181">
        <v>1</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3006</v>
      </c>
      <c r="J12" s="183">
        <v>762</v>
      </c>
      <c r="K12" s="183">
        <v>450</v>
      </c>
      <c r="L12" s="183">
        <v>3318</v>
      </c>
      <c r="M12" s="183">
        <v>99</v>
      </c>
      <c r="N12" s="183">
        <v>61</v>
      </c>
      <c r="O12" s="181">
        <v>113</v>
      </c>
      <c r="P12" s="183">
        <v>165</v>
      </c>
      <c r="Q12" s="183">
        <v>55</v>
      </c>
      <c r="R12" s="183">
        <v>2629</v>
      </c>
      <c r="S12" s="183">
        <v>2428</v>
      </c>
      <c r="T12" s="183">
        <v>627</v>
      </c>
      <c r="U12" s="183">
        <v>623</v>
      </c>
      <c r="V12" s="183">
        <v>2432</v>
      </c>
      <c r="W12" s="183">
        <v>87</v>
      </c>
      <c r="X12" s="189">
        <v>163</v>
      </c>
      <c r="Y12" s="191">
        <v>61</v>
      </c>
      <c r="Z12" s="181">
        <v>20</v>
      </c>
      <c r="AA12" s="181">
        <v>18</v>
      </c>
      <c r="AB12" s="181">
        <v>63</v>
      </c>
      <c r="AC12" s="183">
        <v>0</v>
      </c>
      <c r="AD12" s="183">
        <v>0</v>
      </c>
      <c r="AE12" s="183">
        <v>0</v>
      </c>
      <c r="AF12" s="189">
        <v>0</v>
      </c>
      <c r="AG12" s="202">
        <v>45</v>
      </c>
      <c r="AH12" s="183">
        <v>25</v>
      </c>
      <c r="AI12" s="183">
        <v>20</v>
      </c>
      <c r="AJ12" s="203">
        <v>50</v>
      </c>
      <c r="AK12" s="182">
        <v>0</v>
      </c>
      <c r="AL12" s="183">
        <v>0</v>
      </c>
      <c r="AM12" s="183">
        <v>0</v>
      </c>
      <c r="AN12" s="189">
        <v>0</v>
      </c>
      <c r="AO12" s="259">
        <v>2</v>
      </c>
      <c r="AP12" s="155">
        <v>2</v>
      </c>
      <c r="AQ12" s="155">
        <v>2</v>
      </c>
      <c r="AR12" s="154">
        <v>2</v>
      </c>
      <c r="AS12" s="340" t="s">
        <v>801</v>
      </c>
      <c r="AT12" s="203"/>
      <c r="AU12" s="202"/>
      <c r="AV12" s="203"/>
      <c r="AW12" s="202"/>
      <c r="AX12" s="203"/>
      <c r="AY12" s="126">
        <f t="shared" si="1"/>
        <v>2473</v>
      </c>
      <c r="AZ12" s="127">
        <f t="shared" si="1"/>
        <v>652</v>
      </c>
      <c r="BA12" s="127">
        <f t="shared" si="1"/>
        <v>643</v>
      </c>
      <c r="BB12" s="127">
        <f t="shared" si="1"/>
        <v>2482</v>
      </c>
      <c r="BC12" s="125">
        <f>IF(ISNUMBER(X12),X12," - ")</f>
        <v>163</v>
      </c>
      <c r="BD12" s="126">
        <f t="shared" si="2"/>
        <v>0.98619631901840488</v>
      </c>
      <c r="BE12" s="127">
        <f t="shared" si="3"/>
        <v>3.8600311041990669</v>
      </c>
      <c r="BF12" s="127">
        <f t="shared" si="4"/>
        <v>0.25349922239502332</v>
      </c>
      <c r="BG12" s="196">
        <f t="shared" si="5"/>
        <v>4.8600311041990665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3007</v>
      </c>
      <c r="J13" s="184">
        <f t="shared" si="6"/>
        <v>763</v>
      </c>
      <c r="K13" s="184">
        <f t="shared" si="6"/>
        <v>450</v>
      </c>
      <c r="L13" s="184">
        <f t="shared" si="6"/>
        <v>3320</v>
      </c>
      <c r="M13" s="184">
        <f t="shared" si="6"/>
        <v>99</v>
      </c>
      <c r="N13" s="184">
        <f t="shared" si="6"/>
        <v>61</v>
      </c>
      <c r="O13" s="184">
        <f t="shared" si="6"/>
        <v>113</v>
      </c>
      <c r="P13" s="184">
        <f t="shared" si="6"/>
        <v>165</v>
      </c>
      <c r="Q13" s="184">
        <f t="shared" si="6"/>
        <v>55</v>
      </c>
      <c r="R13" s="184">
        <f t="shared" si="6"/>
        <v>2629</v>
      </c>
      <c r="S13" s="184">
        <f t="shared" si="6"/>
        <v>2428</v>
      </c>
      <c r="T13" s="184">
        <f t="shared" si="6"/>
        <v>628</v>
      </c>
      <c r="U13" s="184">
        <f t="shared" si="6"/>
        <v>623</v>
      </c>
      <c r="V13" s="184">
        <f t="shared" si="6"/>
        <v>2433</v>
      </c>
      <c r="W13" s="184">
        <f t="shared" si="6"/>
        <v>87</v>
      </c>
      <c r="X13" s="184">
        <f t="shared" si="6"/>
        <v>163</v>
      </c>
      <c r="Y13" s="184">
        <f t="shared" si="6"/>
        <v>61</v>
      </c>
      <c r="Z13" s="184">
        <f t="shared" si="6"/>
        <v>20</v>
      </c>
      <c r="AA13" s="184">
        <f t="shared" si="6"/>
        <v>18</v>
      </c>
      <c r="AB13" s="184">
        <f t="shared" si="6"/>
        <v>63</v>
      </c>
      <c r="AC13" s="184">
        <f t="shared" si="6"/>
        <v>0</v>
      </c>
      <c r="AD13" s="184">
        <f t="shared" si="6"/>
        <v>0</v>
      </c>
      <c r="AE13" s="184">
        <f t="shared" si="6"/>
        <v>0</v>
      </c>
      <c r="AF13" s="184">
        <f>SUBTOTAL(9,AF9:AF12)</f>
        <v>0</v>
      </c>
      <c r="AG13" s="184">
        <f t="shared" ref="AG13:AT13" si="7">SUBTOTAL(9,AG8:AG12)</f>
        <v>45</v>
      </c>
      <c r="AH13" s="184">
        <f t="shared" si="7"/>
        <v>25</v>
      </c>
      <c r="AI13" s="184">
        <f t="shared" si="7"/>
        <v>20</v>
      </c>
      <c r="AJ13" s="184">
        <f t="shared" si="7"/>
        <v>50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2473</v>
      </c>
      <c r="AZ13" s="184">
        <f>SUBTOTAL(9,AZ8:AZ12)</f>
        <v>653</v>
      </c>
      <c r="BA13" s="184">
        <f>SUBTOTAL(9,BA8:BA12)</f>
        <v>643</v>
      </c>
      <c r="BB13" s="184">
        <f>SUBTOTAL(9,BB8:BB12)</f>
        <v>2483</v>
      </c>
      <c r="BC13" s="184">
        <f>SUBTOTAL(9,BC8:BC12)</f>
        <v>163</v>
      </c>
      <c r="BD13" s="205">
        <f>IF(ISNUMBER(BA13/AZ13),BA13/AZ13," - ")</f>
        <v>0.9846860643185299</v>
      </c>
      <c r="BE13" s="206">
        <f>IF(ISNUMBER(BB13/BA13),BB13/BA13, " - ")</f>
        <v>3.8615863141524107</v>
      </c>
      <c r="BF13" s="206">
        <f>IF(ISNUMBER(BC13/BA13),BC13/BA13, " - ")</f>
        <v>0.25349922239502332</v>
      </c>
      <c r="BG13" s="207">
        <f>IF(ISNUMBER((AY13+AZ13)/BA13),(AY13+AZ13)/BA13," - ")</f>
        <v>4.8615863141524107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1904</v>
      </c>
      <c r="J16" s="183">
        <v>748</v>
      </c>
      <c r="K16" s="183">
        <v>518</v>
      </c>
      <c r="L16" s="183">
        <v>2134</v>
      </c>
      <c r="M16" s="183">
        <v>48</v>
      </c>
      <c r="N16" s="183">
        <v>240</v>
      </c>
      <c r="O16" s="181">
        <v>2</v>
      </c>
      <c r="P16" s="183">
        <v>1</v>
      </c>
      <c r="Q16" s="183">
        <v>2</v>
      </c>
      <c r="R16" s="183">
        <v>107</v>
      </c>
      <c r="S16" s="183">
        <v>1579</v>
      </c>
      <c r="T16" s="183">
        <v>627</v>
      </c>
      <c r="U16" s="183">
        <v>544</v>
      </c>
      <c r="V16" s="183">
        <v>1662</v>
      </c>
      <c r="W16" s="183">
        <v>126</v>
      </c>
      <c r="X16" s="189">
        <v>357</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1579</v>
      </c>
      <c r="AZ16" s="127">
        <f t="shared" si="9"/>
        <v>627</v>
      </c>
      <c r="BA16" s="127">
        <f t="shared" si="9"/>
        <v>544</v>
      </c>
      <c r="BB16" s="127">
        <f t="shared" si="9"/>
        <v>1662</v>
      </c>
      <c r="BC16" s="125">
        <f>IF(ISNUMBER(W16),W16," - ")</f>
        <v>126</v>
      </c>
      <c r="BD16" s="126">
        <f t="shared" ref="BD16" si="11">IF(ISNUMBER(BA16/AZ16),BA16/AZ16," - ")</f>
        <v>0.86762360446570974</v>
      </c>
      <c r="BE16" s="127">
        <f t="shared" ref="BE16" si="12">IF(ISNUMBER(BB16/BA16),BB16/BA16, " - ")</f>
        <v>3.0551470588235294</v>
      </c>
      <c r="BF16" s="127">
        <f t="shared" ref="BF16" si="13">IF(ISNUMBER(BC16/BA16),BC16/BA16, " - ")</f>
        <v>0.23161764705882354</v>
      </c>
      <c r="BG16" s="196">
        <f t="shared" si="10"/>
        <v>4.055147058823529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173</v>
      </c>
      <c r="J17" s="183">
        <v>73</v>
      </c>
      <c r="K17" s="183">
        <v>49</v>
      </c>
      <c r="L17" s="183">
        <v>197</v>
      </c>
      <c r="M17" s="183">
        <v>13</v>
      </c>
      <c r="N17" s="183">
        <v>23</v>
      </c>
      <c r="O17" s="183">
        <v>0</v>
      </c>
      <c r="P17" s="183">
        <v>0</v>
      </c>
      <c r="Q17" s="183">
        <v>0</v>
      </c>
      <c r="R17" s="183">
        <v>0</v>
      </c>
      <c r="S17" s="183">
        <v>95</v>
      </c>
      <c r="T17" s="183">
        <v>62</v>
      </c>
      <c r="U17" s="183">
        <v>31</v>
      </c>
      <c r="V17" s="183">
        <v>126</v>
      </c>
      <c r="W17" s="183">
        <v>7</v>
      </c>
      <c r="X17" s="189">
        <v>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95</v>
      </c>
      <c r="AZ17" s="129">
        <f t="shared" si="14"/>
        <v>62</v>
      </c>
      <c r="BA17" s="129">
        <f t="shared" si="14"/>
        <v>31</v>
      </c>
      <c r="BB17" s="129">
        <f t="shared" si="14"/>
        <v>126</v>
      </c>
      <c r="BC17" s="125">
        <f>IF(ISNUMBER(W17),W17," - ")</f>
        <v>7</v>
      </c>
      <c r="BD17" s="126">
        <f>IF(ISNUMBER(BA17/AZ17),BA17/AZ17," - ")</f>
        <v>0.5</v>
      </c>
      <c r="BE17" s="127">
        <f>IF(ISNUMBER(BB17/BA17),BB17/BA17, " - ")</f>
        <v>4.064516129032258</v>
      </c>
      <c r="BF17" s="127">
        <f>IF(ISNUMBER(BC17/BA17),BC17/BA17, " - ")</f>
        <v>0.22580645161290322</v>
      </c>
      <c r="BG17" s="196">
        <f>IF(ISNUMBER((AY17+AZ17)/BA17),(AY17+AZ17)/BA17," - ")</f>
        <v>5.064516129032258</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2077</v>
      </c>
      <c r="J18" s="184">
        <f t="shared" si="15"/>
        <v>821</v>
      </c>
      <c r="K18" s="184">
        <f t="shared" si="15"/>
        <v>567</v>
      </c>
      <c r="L18" s="184">
        <f t="shared" si="15"/>
        <v>2331</v>
      </c>
      <c r="M18" s="184">
        <f t="shared" si="15"/>
        <v>61</v>
      </c>
      <c r="N18" s="184">
        <f t="shared" si="15"/>
        <v>263</v>
      </c>
      <c r="O18" s="184">
        <f t="shared" si="15"/>
        <v>2</v>
      </c>
      <c r="P18" s="184">
        <f t="shared" si="15"/>
        <v>1</v>
      </c>
      <c r="Q18" s="184">
        <f t="shared" si="15"/>
        <v>2</v>
      </c>
      <c r="R18" s="184">
        <f t="shared" si="15"/>
        <v>107</v>
      </c>
      <c r="S18" s="184">
        <f t="shared" si="15"/>
        <v>1674</v>
      </c>
      <c r="T18" s="184">
        <f t="shared" si="15"/>
        <v>689</v>
      </c>
      <c r="U18" s="184">
        <f t="shared" si="15"/>
        <v>575</v>
      </c>
      <c r="V18" s="184">
        <f t="shared" si="15"/>
        <v>1788</v>
      </c>
      <c r="W18" s="184">
        <f t="shared" si="15"/>
        <v>133</v>
      </c>
      <c r="X18" s="184">
        <f t="shared" si="15"/>
        <v>382</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1674</v>
      </c>
      <c r="AZ18" s="184">
        <f>SUBTOTAL(9,AZ14:AZ17)</f>
        <v>689</v>
      </c>
      <c r="BA18" s="184">
        <f>SUBTOTAL(9,BA14:BA17)</f>
        <v>575</v>
      </c>
      <c r="BB18" s="184">
        <f>SUBTOTAL(9,BB14:BB17)</f>
        <v>1788</v>
      </c>
      <c r="BC18" s="184">
        <f>SUBTOTAL(9,BC14:BC17)</f>
        <v>133</v>
      </c>
      <c r="BD18" s="205">
        <f>IF(ISNUMBER(BA18/AZ18),BA18/AZ18," - ")</f>
        <v>0.83454281567489119</v>
      </c>
      <c r="BE18" s="206">
        <f>IF(ISNUMBER(BB18/BA18),BB18/BA18, " - ")</f>
        <v>3.1095652173913044</v>
      </c>
      <c r="BF18" s="206">
        <f>IF(ISNUMBER(BC18/BA18),BC18/BA18, " - ")</f>
        <v>0.23130434782608697</v>
      </c>
      <c r="BG18" s="207">
        <f>IF(ISNUMBER((AY18+AZ18)/BA18),(AY18+AZ18)/BA18," - ")</f>
        <v>4.109565217391304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5084</v>
      </c>
      <c r="J19" s="134">
        <f t="shared" si="18"/>
        <v>1584</v>
      </c>
      <c r="K19" s="134">
        <f t="shared" si="18"/>
        <v>1017</v>
      </c>
      <c r="L19" s="134">
        <f t="shared" si="18"/>
        <v>5651</v>
      </c>
      <c r="M19" s="134">
        <f t="shared" si="18"/>
        <v>160</v>
      </c>
      <c r="N19" s="134">
        <f t="shared" si="18"/>
        <v>324</v>
      </c>
      <c r="O19" s="134">
        <f t="shared" si="18"/>
        <v>115</v>
      </c>
      <c r="P19" s="134">
        <f t="shared" si="18"/>
        <v>166</v>
      </c>
      <c r="Q19" s="134">
        <f t="shared" si="18"/>
        <v>57</v>
      </c>
      <c r="R19" s="134">
        <f t="shared" si="18"/>
        <v>2736</v>
      </c>
      <c r="S19" s="134">
        <f t="shared" si="18"/>
        <v>4102</v>
      </c>
      <c r="T19" s="134">
        <f t="shared" si="18"/>
        <v>1317</v>
      </c>
      <c r="U19" s="134">
        <f t="shared" si="18"/>
        <v>1198</v>
      </c>
      <c r="V19" s="134">
        <f t="shared" si="18"/>
        <v>4221</v>
      </c>
      <c r="W19" s="134">
        <f t="shared" si="18"/>
        <v>220</v>
      </c>
      <c r="X19" s="134">
        <f t="shared" si="18"/>
        <v>545</v>
      </c>
      <c r="Y19" s="134">
        <f t="shared" si="18"/>
        <v>61</v>
      </c>
      <c r="Z19" s="134">
        <f t="shared" si="18"/>
        <v>20</v>
      </c>
      <c r="AA19" s="134">
        <f t="shared" si="18"/>
        <v>18</v>
      </c>
      <c r="AB19" s="134">
        <f t="shared" si="18"/>
        <v>63</v>
      </c>
      <c r="AC19" s="134">
        <f t="shared" si="18"/>
        <v>0</v>
      </c>
      <c r="AD19" s="134">
        <f t="shared" si="18"/>
        <v>1</v>
      </c>
      <c r="AE19" s="134">
        <f t="shared" si="18"/>
        <v>1</v>
      </c>
      <c r="AF19" s="134">
        <f t="shared" si="18"/>
        <v>0</v>
      </c>
      <c r="AG19" s="134">
        <f t="shared" si="18"/>
        <v>45</v>
      </c>
      <c r="AH19" s="134">
        <f t="shared" si="18"/>
        <v>25</v>
      </c>
      <c r="AI19" s="134">
        <f t="shared" si="18"/>
        <v>20</v>
      </c>
      <c r="AJ19" s="134">
        <f t="shared" si="18"/>
        <v>50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4147</v>
      </c>
      <c r="AZ19" s="134">
        <f>SUBTOTAL(9,AZ9:AZ18)</f>
        <v>1342</v>
      </c>
      <c r="BA19" s="134">
        <f>SUBTOTAL(9,BA9:BA18)</f>
        <v>1218</v>
      </c>
      <c r="BB19" s="134">
        <f>SUBTOTAL(9,BB9:BB18)</f>
        <v>4271</v>
      </c>
      <c r="BC19" s="135">
        <f>SUBTOTAL(9,BC9:BC18)</f>
        <v>296</v>
      </c>
      <c r="BD19" s="213">
        <f>IF(ISNUMBER(BA19/AZ19),BA19/AZ19," - ")</f>
        <v>0.90760059612518629</v>
      </c>
      <c r="BE19" s="210">
        <f>IF(ISNUMBER(BB19/BA19),BB19/BA19, " - ")</f>
        <v>3.506568144499179</v>
      </c>
      <c r="BF19" s="210">
        <f>IF(ISNUMBER(BC19/BA19),BC19/BA19, " - ")</f>
        <v>0.24302134646962234</v>
      </c>
      <c r="BG19" s="135">
        <f>IF(ISNUMBER((AY19+AZ19)/BA19),(AY19+AZ19)/BA19," - ")</f>
        <v>4.5065681444991794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ck7CyIZRIp7TpmnRk9BmRly9FQbJ9YrvApD6MdSdTKwHudNeKsSzhXrMrB7IrctZjQFttImiLBRMlr74SmDRg==" saltValue="DGFQDIq1iYTLs8cV//guF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XaFRvwPTpN6k///E3YcoGSm134hhQmQZvcdcn822yQAvucLmdJWeFmYS6vWlSmfbrw0xJbKADIyWBZbN4Xpmg==" saltValue="D81K5Ua3uWOroUeAZpprC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MOGUER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165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63</v>
      </c>
      <c r="AI12" s="334" t="str">
        <f>IF(ISNUMBER(Datos!CD12),Datos!CD12,"-")</f>
        <v>-</v>
      </c>
      <c r="AJ12" s="334" t="str">
        <f>IF(ISNUMBER(Datos!EN12),Datos!EN12," - ")</f>
        <v xml:space="preserve"> - </v>
      </c>
      <c r="AK12" s="334"/>
      <c r="AL12" s="479"/>
      <c r="AM12" s="335">
        <f>IF(ISNUMBER(Datos!R12),Datos!R12," - ")</f>
        <v>2629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99</v>
      </c>
      <c r="BD12" s="229">
        <f>IF(ISNUMBER(Datos!N12),Datos!N12," - ")</f>
        <v>61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0.59846547314578002</v>
      </c>
      <c r="BH12" s="260">
        <f>IF(ISNUMBER(((IF(J_V="SI",Datos!L12/Datos!K12,(Datos!L12+Datos!AB12)/(Datos!K12+Datos!AA12)))*11)/factor_trimestre),((IF(J_V="SI",Datos!L12/Datos!K12,(Datos!L12+Datos!AB12)/(Datos!K12+Datos!AA12)))*11)/factor_trimestre," - ")</f>
        <v>21.673076923076923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4.3668122270742356E-2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165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55</v>
      </c>
      <c r="AD13" s="899">
        <f t="shared" si="1"/>
        <v>0</v>
      </c>
      <c r="AE13" s="899">
        <f t="shared" si="1"/>
        <v>0</v>
      </c>
      <c r="AF13" s="899">
        <f t="shared" si="1"/>
        <v>2</v>
      </c>
      <c r="AG13" s="899">
        <f t="shared" si="1"/>
        <v>0</v>
      </c>
      <c r="AH13" s="899">
        <f t="shared" si="1"/>
        <v>63</v>
      </c>
      <c r="AI13" s="899">
        <f t="shared" si="1"/>
        <v>0</v>
      </c>
      <c r="AJ13" s="899">
        <f t="shared" si="1"/>
        <v>0</v>
      </c>
      <c r="AK13" s="899">
        <f t="shared" si="1"/>
        <v>0</v>
      </c>
      <c r="AL13" s="899">
        <f t="shared" si="1"/>
        <v>0</v>
      </c>
      <c r="AM13" s="899">
        <f t="shared" si="1"/>
        <v>2629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99</v>
      </c>
      <c r="BD13" s="899">
        <f t="shared" si="1"/>
        <v>61</v>
      </c>
      <c r="BE13" s="899">
        <f t="shared" si="1"/>
        <v>0</v>
      </c>
      <c r="BF13" s="899">
        <f t="shared" si="1"/>
        <v>0</v>
      </c>
      <c r="BG13" s="899">
        <f>IF(ISNUMBER(Datos!K13/Datos!J13),Datos!K13/Datos!J13," - ")</f>
        <v>0.58977719528178241</v>
      </c>
      <c r="BH13" s="903">
        <f>IF(ISNUMBER(((Datos!L13/Datos!K13)*11)/factor_trimestre),((Datos!L13/Datos!K13)*11)/factor_trimestre," - ")</f>
        <v>22.133333333333336</v>
      </c>
      <c r="BI13" s="899">
        <f>IF(ISNUMBER('Resol  Asuntos'!D13/NºAsuntos!G13),'Resol  Asuntos'!D13/NºAsuntos!G13," - ")</f>
        <v>0.21153846153846154</v>
      </c>
      <c r="BJ13" s="899" t="str">
        <f>IF(ISNUMBER(Datos!CI13/Datos!CJ13),Datos!CI13/Datos!CJ13," - ")</f>
        <v xml:space="preserve"> - </v>
      </c>
      <c r="BK13" s="899">
        <f>SUBTOTAL(9,BK8:BK12)</f>
        <v>0</v>
      </c>
      <c r="BL13" s="899">
        <f>IF(ISNUMBER((I13-AB13+L13)/(F13)),(I13-AB13+L13)/(F13)," - ")</f>
        <v>0</v>
      </c>
      <c r="BM13" s="904">
        <f>SUBTOTAL(9,BM9:BM12)</f>
        <v>4.3668122270742356E-2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1904</v>
      </c>
      <c r="G16" s="598">
        <f>IF(ISNUMBER(IF(D_I="SI",Datos!I16,Datos!I16+Datos!AC16)),IF(D_I="SI",Datos!I16,Datos!I16+Datos!AC16)," - ")</f>
        <v>1904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518</v>
      </c>
      <c r="AC16" s="226">
        <f>IF(ISNUMBER(Datos!Q16),Datos!Q16," - ")</f>
        <v>2</v>
      </c>
      <c r="AD16" s="334"/>
      <c r="AE16" s="484"/>
      <c r="AF16" s="596">
        <f>IF(ISNUMBER(IF(D_I="SI",Datos!L16,Datos!L16+Datos!AF16)),IF(D_I="SI",Datos!L16,Datos!L16+Datos!AF16)," - ")</f>
        <v>2134</v>
      </c>
      <c r="AG16" s="334"/>
      <c r="AH16" s="334"/>
      <c r="AI16" s="334"/>
      <c r="AJ16" s="334"/>
      <c r="AK16" s="334"/>
      <c r="AL16" s="479"/>
      <c r="AM16" s="335">
        <f>IF(ISNUMBER(Datos!R16),Datos!R16," - ")</f>
        <v>107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48</v>
      </c>
      <c r="BD16" s="229">
        <f>IF(ISNUMBER(Datos!N16),Datos!N16," - ")</f>
        <v>240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0.69251336898395721</v>
      </c>
      <c r="BH16" s="260">
        <f>IF(ISNUMBER(((IF(D_I="SI",Datos!L16/Datos!K16,(Datos!L16+Datos!AF16)/(Datos!K16+Datos!AE16)))*11)/factor_trimestre),((IF(D_I="SI",Datos!L16/Datos!K16,(Datos!L16+Datos!AF16)/(Datos!K16+Datos!AE16)))*11)/factor_trimestre," - ")</f>
        <v>12.359073359073358</v>
      </c>
      <c r="BI16" s="243">
        <f>IF(ISNUMBER('Resol  Asuntos'!D16/NºAsuntos!G16),'Resol  Asuntos'!D16/NºAsuntos!G16," - ")</f>
        <v>9.2664092664092659E-2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49</v>
      </c>
      <c r="AC17" s="226">
        <f>IF(ISNUMBER(Datos!Q17),Datos!Q17," - ")</f>
        <v>0</v>
      </c>
      <c r="AD17" s="334"/>
      <c r="AE17" s="484"/>
      <c r="AF17" s="332">
        <f>IF(ISNUMBER(Datos!L17),Datos!L17,"-")</f>
        <v>197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23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0.67123287671232879</v>
      </c>
      <c r="BH17" s="260">
        <f>IF(ISNUMBER(((IF(D_I="SI",Datos!L17/Datos!K17,(Datos!L17+Datos!AF17)/(Datos!K17+Datos!AE17)))*11)/factor_trimestre),((IF(D_I="SI",Datos!L17/Datos!K17,(Datos!L17+Datos!AF17)/(Datos!K17+Datos!AE17)))*11)/factor_trimestre," - ")</f>
        <v>12.061224489795919</v>
      </c>
      <c r="BI17" s="243">
        <f>IF(ISNUMBER('Resol  Asuntos'!D17/NºAsuntos!G17),'Resol  Asuntos'!D17/NºAsuntos!G17," - ")</f>
        <v>0.26530612244897961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1904</v>
      </c>
      <c r="G18" s="898">
        <f>SUBTOTAL(9,G15:G17)</f>
        <v>2077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567</v>
      </c>
      <c r="AC18" s="899">
        <f t="shared" si="4"/>
        <v>2</v>
      </c>
      <c r="AD18" s="899">
        <f t="shared" si="4"/>
        <v>0</v>
      </c>
      <c r="AE18" s="899">
        <f t="shared" si="4"/>
        <v>0</v>
      </c>
      <c r="AF18" s="899">
        <f t="shared" si="4"/>
        <v>2331</v>
      </c>
      <c r="AG18" s="899">
        <f t="shared" si="4"/>
        <v>0</v>
      </c>
      <c r="AH18" s="899">
        <f t="shared" si="4"/>
        <v>0</v>
      </c>
      <c r="AI18" s="899">
        <f t="shared" si="4"/>
        <v>0</v>
      </c>
      <c r="AJ18" s="899">
        <f t="shared" si="4"/>
        <v>0</v>
      </c>
      <c r="AK18" s="899">
        <f t="shared" si="4"/>
        <v>0</v>
      </c>
      <c r="AL18" s="899">
        <f t="shared" si="4"/>
        <v>0</v>
      </c>
      <c r="AM18" s="899">
        <f t="shared" si="4"/>
        <v>107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61</v>
      </c>
      <c r="BD18" s="899">
        <f t="shared" si="4"/>
        <v>263</v>
      </c>
      <c r="BE18" s="899">
        <f t="shared" si="4"/>
        <v>0</v>
      </c>
      <c r="BF18" s="899">
        <f t="shared" si="4"/>
        <v>0</v>
      </c>
      <c r="BG18" s="899">
        <f>IF(ISNUMBER(Datos!K18/Datos!J18),Datos!K18/Datos!J18," - ")</f>
        <v>0.69062119366626062</v>
      </c>
      <c r="BH18" s="903">
        <f>IF(ISNUMBER(((Datos!L18/Datos!K18)*11)/factor_trimestre),((Datos!L18/Datos!K18)*11)/factor_trimestre," - ")</f>
        <v>12.333333333333332</v>
      </c>
      <c r="BI18" s="899">
        <f>SUBTOTAL(9,BI15:BI17)</f>
        <v>0.35797021511307225</v>
      </c>
      <c r="BJ18" s="899">
        <f>SUBTOTAL(9,BJ15:BJ17)</f>
        <v>0</v>
      </c>
      <c r="BK18" s="899">
        <f>SUBTOTAL(9,BK15:BK17)</f>
        <v>0</v>
      </c>
      <c r="BL18" s="899">
        <f>IF(ISNUMBER((I18-AB18+L18)/(F18)),(I18-AB18+L18)/(F18)," - ")</f>
        <v>-0.29779411764705882</v>
      </c>
      <c r="BM18" s="905">
        <f>IF(ISNUMBER((Datos!P18-Datos!Q18)/(Datos!R18-Datos!P18+Datos!Q18)),(Datos!P18-Datos!Q18)/(Datos!R18-Datos!P18+Datos!Q18)," - ")</f>
        <v>-9.2592592592592587E-3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1905</v>
      </c>
      <c r="G19" s="820">
        <f t="shared" si="6"/>
        <v>2078</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166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567</v>
      </c>
      <c r="AC19" s="821">
        <f t="shared" si="7"/>
        <v>57</v>
      </c>
      <c r="AD19" s="821">
        <f t="shared" si="7"/>
        <v>0</v>
      </c>
      <c r="AE19" s="821">
        <f t="shared" si="7"/>
        <v>0</v>
      </c>
      <c r="AF19" s="828">
        <f t="shared" si="7"/>
        <v>2333</v>
      </c>
      <c r="AG19" s="828">
        <f t="shared" si="7"/>
        <v>0</v>
      </c>
      <c r="AH19" s="828">
        <f t="shared" si="7"/>
        <v>63</v>
      </c>
      <c r="AI19" s="828">
        <f t="shared" si="7"/>
        <v>0</v>
      </c>
      <c r="AJ19" s="821">
        <f t="shared" si="7"/>
        <v>0</v>
      </c>
      <c r="AK19" s="828">
        <f t="shared" si="7"/>
        <v>0</v>
      </c>
      <c r="AL19" s="828">
        <f t="shared" si="7"/>
        <v>0</v>
      </c>
      <c r="AM19" s="828">
        <f t="shared" si="7"/>
        <v>2736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160</v>
      </c>
      <c r="BD19" s="820">
        <f t="shared" si="7"/>
        <v>324</v>
      </c>
      <c r="BE19" s="820">
        <f t="shared" si="7"/>
        <v>0</v>
      </c>
      <c r="BF19" s="830">
        <f t="shared" si="7"/>
        <v>0</v>
      </c>
      <c r="BG19" s="915">
        <f>IF(ISNUMBER(Datos!K19/Datos!J19),Datos!K19/Datos!J19," - ")</f>
        <v>0.64204545454545459</v>
      </c>
      <c r="BH19" s="915">
        <f>IF(ISNUMBER(((Datos!L19/Datos!K19)*11)/factor_trimestre),((Datos!L19/Datos!K19)*11)/factor_trimestre," - ")</f>
        <v>16.669616519174042</v>
      </c>
      <c r="BI19" s="813">
        <f>IF(ISNUMBER(Datos!J19/Datos!I19),Datos!J19/Datos!I19," - ")</f>
        <v>0.31156569630212433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-0.29763779527559053</v>
      </c>
      <c r="BM19" s="889">
        <f>IF(ISNUMBER((Datos!P19-Datos!Q19+R19)/(Datos!R19-Datos!P19+Datos!Q19-R19)),(Datos!P19-Datos!Q19+R19)/(Datos!R19-Datos!P19+Datos!Q19-R19)," - ")</f>
        <v>4.1492196421773889E-2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831.2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1098.6975622678578</v>
      </c>
      <c r="G21" s="552">
        <f>IF(ISNUMBER(STDEV(G8:G18)),STDEV(G8:G18),"-")</f>
        <v>1062.3804403319932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289.40577050224829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41.783569338517097</v>
      </c>
      <c r="BD21" s="551"/>
      <c r="BE21" s="551">
        <f>IF(ISNUMBER(STDEV(BE8:BE18)),STDEV(BE8:BE18),"-")</f>
        <v>0</v>
      </c>
      <c r="BF21" s="556">
        <f>IF(ISNUMBER(STDEV(BF8:BF18)),STDEV(BF8:BF18),"-")</f>
        <v>0</v>
      </c>
      <c r="BG21" s="775">
        <f>IF(ISNUMBER(STDEV(BG8:BG18)),STDEV(BG8:BG18),"-")</f>
        <v>0.2685754958692177</v>
      </c>
      <c r="BH21" s="776">
        <f>IF(ISNUMBER(STDEV(BH8:BH18)),STDEV(BH8:BH18),"-")</f>
        <v>5.2904062707690667</v>
      </c>
      <c r="BI21" s="249">
        <f>IF(ISNUMBER(STDEV(BI8:BI18)),STDEV(BI8:BI18),"-")</f>
        <v>0.1107713781159276</v>
      </c>
      <c r="BJ21" s="230" t="str">
        <f>IF(ISNUMBER(BL21/BM21),BL21/BM21," - ")</f>
        <v xml:space="preserve"> - </v>
      </c>
      <c r="BK21" s="575"/>
      <c r="BL21" s="559">
        <f>IF(ISNUMBER(STDEV(BL8:BL18)),STDEV(BL8:BL18),"-")</f>
        <v>0.21057223998569979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gZKUBhDFDLd/2H9/tRyvwoNAOIiHBGd3y4tl0yLZwwg7Ij50GtOYsepMd5V5o1+WkxNdoKMey6rXBeYjtszeng==" saltValue="emGfpEBl/l+t1V7V8Snx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MOGUER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55</v>
      </c>
      <c r="AA12" s="332" t="str">
        <f>IF(ISNUMBER(IF(J_V="SI",Datos!L12,Datos!L12+Datos!AB12)-IF(Monitorios="SI",Datos!CD12,0)),
                          IF(J_V="SI",Datos!L12,Datos!L12+Datos!AB12)-IF(Monitorios="SI",Datos!CD12,0),
                          " - ")</f>
        <v xml:space="preserve"> - </v>
      </c>
      <c r="AB12" s="334"/>
      <c r="AC12" s="334"/>
      <c r="AD12" s="484"/>
      <c r="AE12" s="484">
        <f>IF(ISNUMBER(Datos!R12),Datos!R12," - ")</f>
        <v>2629</v>
      </c>
      <c r="AF12" s="229" t="str">
        <f>IF(ISNUMBER(Datos!BV12),Datos!BV12," - ")</f>
        <v xml:space="preserve"> - </v>
      </c>
      <c r="AG12" s="225" t="str">
        <f>IF(ISNUMBER(Datos!DV12),Datos!DV12," - ")</f>
        <v xml:space="preserve"> - </v>
      </c>
      <c r="AH12" s="298"/>
      <c r="AI12" s="227"/>
      <c r="AJ12" s="225">
        <f>IF(ISNUMBER(Datos!M12),Datos!M12," - ")</f>
        <v>99</v>
      </c>
      <c r="AK12" s="229">
        <f>IF(ISNUMBER(Datos!N12),Datos!N12," - ")</f>
        <v>61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21.673076923076923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4.3668122270742356E-2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165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55</v>
      </c>
      <c r="AA13" s="900">
        <f t="shared" si="2"/>
        <v>2</v>
      </c>
      <c r="AB13" s="900">
        <f t="shared" si="2"/>
        <v>0</v>
      </c>
      <c r="AC13" s="900">
        <f t="shared" si="2"/>
        <v>0</v>
      </c>
      <c r="AD13" s="900">
        <f t="shared" si="2"/>
        <v>0</v>
      </c>
      <c r="AE13" s="900">
        <f t="shared" si="2"/>
        <v>2629</v>
      </c>
      <c r="AF13" s="908">
        <f t="shared" si="2"/>
        <v>0</v>
      </c>
      <c r="AG13" s="908">
        <f t="shared" si="2"/>
        <v>0</v>
      </c>
      <c r="AH13" s="908">
        <f t="shared" si="2"/>
        <v>0</v>
      </c>
      <c r="AI13" s="908">
        <f t="shared" si="2"/>
        <v>0</v>
      </c>
      <c r="AJ13" s="908">
        <f t="shared" si="2"/>
        <v>99</v>
      </c>
      <c r="AK13" s="908">
        <f t="shared" si="2"/>
        <v>61</v>
      </c>
      <c r="AL13" s="908">
        <f t="shared" si="2"/>
        <v>0</v>
      </c>
      <c r="AM13" s="908">
        <f t="shared" si="2"/>
        <v>0</v>
      </c>
      <c r="AN13" s="908">
        <f t="shared" si="2"/>
        <v>0</v>
      </c>
      <c r="AO13" s="904">
        <f>IF(ISNUMBER(((NºAsuntos!I13/NºAsuntos!G13)*11)/factor_trimestre),((NºAsuntos!I13/NºAsuntos!G13)*11)/factor_trimestre," - ")</f>
        <v>21.685897435897434</v>
      </c>
      <c r="AP13" s="910" t="str">
        <f>IF(ISNUMBER(Datos!CI13/Datos!CJ13),Datos!CI13/Datos!CJ13," - ")</f>
        <v xml:space="preserve"> - </v>
      </c>
      <c r="AQ13" s="928">
        <f t="shared" ref="AQ13:AV13" si="3">SUBTOTAL(9,AQ9:AQ12)</f>
        <v>0</v>
      </c>
      <c r="AR13" s="928">
        <f t="shared" si="3"/>
        <v>4.3668122270742356E-2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1904</v>
      </c>
      <c r="G16" s="225">
        <f>IF(ISNUMBER(IF(D_I="SI",Datos!I16,Datos!I16+Datos!AC16)),IF(D_I="SI",Datos!I16,Datos!I16+Datos!AC16)," - ")</f>
        <v>1904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518</v>
      </c>
      <c r="Z16" s="619">
        <f>IF(ISNUMBER(Datos!Q16),Datos!Q16," - ")</f>
        <v>2</v>
      </c>
      <c r="AA16" s="332">
        <f>IF(ISNUMBER(IF(D_I="SI",Datos!L16,Datos!L16+Datos!AF16)),IF(D_I="SI",Datos!L16,Datos!L16+Datos!AF16)," - ")</f>
        <v>2134</v>
      </c>
      <c r="AB16" s="334"/>
      <c r="AC16" s="334"/>
      <c r="AD16" s="484"/>
      <c r="AE16" s="484">
        <f>IF(ISNUMBER(Datos!R16),Datos!R16," - ")</f>
        <v>107</v>
      </c>
      <c r="AF16" s="229" t="str">
        <f>IF(ISNUMBER(Datos!BV16),Datos!BV16," - ")</f>
        <v xml:space="preserve"> - </v>
      </c>
      <c r="AG16" s="225"/>
      <c r="AH16" s="298"/>
      <c r="AI16" s="227"/>
      <c r="AJ16" s="225">
        <f>IF(ISNUMBER(Datos!M16),Datos!M16," - ")</f>
        <v>48</v>
      </c>
      <c r="AK16" s="229">
        <f>IF(ISNUMBER(Datos!N16),Datos!N16," - ")</f>
        <v>240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12.359073359073358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49</v>
      </c>
      <c r="Z17" s="619">
        <f>IF(ISNUMBER(Datos!Q17),Datos!Q17," - ")</f>
        <v>0</v>
      </c>
      <c r="AA17" s="332">
        <f>IF(ISNUMBER(Datos!L17),Datos!L17,"-")</f>
        <v>197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13</v>
      </c>
      <c r="AK17" s="229">
        <f>IF(ISNUMBER(Datos!N17),Datos!N17," - ")</f>
        <v>23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12.061224489795919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1904</v>
      </c>
      <c r="G18" s="898">
        <f>SUBTOTAL(9,G15:G17)</f>
        <v>2077</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567</v>
      </c>
      <c r="Z18" s="932">
        <f t="shared" si="5"/>
        <v>2</v>
      </c>
      <c r="AA18" s="932">
        <f t="shared" si="5"/>
        <v>2331</v>
      </c>
      <c r="AB18" s="932">
        <f t="shared" si="5"/>
        <v>0</v>
      </c>
      <c r="AC18" s="932">
        <f t="shared" si="5"/>
        <v>0</v>
      </c>
      <c r="AD18" s="932">
        <f t="shared" si="5"/>
        <v>0</v>
      </c>
      <c r="AE18" s="932">
        <f t="shared" si="5"/>
        <v>107</v>
      </c>
      <c r="AF18" s="932">
        <f t="shared" si="5"/>
        <v>0</v>
      </c>
      <c r="AG18" s="932">
        <f t="shared" si="5"/>
        <v>0</v>
      </c>
      <c r="AH18" s="932">
        <f t="shared" si="5"/>
        <v>0</v>
      </c>
      <c r="AI18" s="932">
        <f t="shared" si="5"/>
        <v>0</v>
      </c>
      <c r="AJ18" s="932">
        <f t="shared" si="5"/>
        <v>61</v>
      </c>
      <c r="AK18" s="932">
        <f t="shared" si="5"/>
        <v>263</v>
      </c>
      <c r="AL18" s="932">
        <f t="shared" si="5"/>
        <v>0</v>
      </c>
      <c r="AM18" s="932">
        <f t="shared" si="5"/>
        <v>0</v>
      </c>
      <c r="AN18" s="932">
        <f t="shared" si="5"/>
        <v>0</v>
      </c>
      <c r="AO18" s="934">
        <f>IF(ISNUMBER(((NºAsuntos!I18/NºAsuntos!G18)*11)/factor_trimestre),((NºAsuntos!I18/NºAsuntos!G18)*11)/factor_trimestre," - ")</f>
        <v>12.333333333333332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1905</v>
      </c>
      <c r="G19" s="820">
        <f t="shared" si="7"/>
        <v>2078</v>
      </c>
      <c r="H19" s="821">
        <f t="shared" si="7"/>
        <v>0</v>
      </c>
      <c r="I19" s="820">
        <f t="shared" si="7"/>
        <v>0</v>
      </c>
      <c r="J19" s="822">
        <f t="shared" si="7"/>
        <v>0</v>
      </c>
      <c r="K19" s="820">
        <f t="shared" si="7"/>
        <v>0</v>
      </c>
      <c r="L19" s="823">
        <f t="shared" si="7"/>
        <v>0</v>
      </c>
      <c r="M19" s="820">
        <f t="shared" si="7"/>
        <v>0</v>
      </c>
      <c r="N19" s="821">
        <f t="shared" si="7"/>
        <v>166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567</v>
      </c>
      <c r="Z19" s="827">
        <f t="shared" si="8"/>
        <v>57</v>
      </c>
      <c r="AA19" s="828">
        <f t="shared" si="8"/>
        <v>2333</v>
      </c>
      <c r="AB19" s="828">
        <f t="shared" si="8"/>
        <v>0</v>
      </c>
      <c r="AC19" s="828">
        <f t="shared" si="8"/>
        <v>0</v>
      </c>
      <c r="AD19" s="829">
        <f t="shared" si="8"/>
        <v>0</v>
      </c>
      <c r="AE19" s="829">
        <f t="shared" si="8"/>
        <v>2736</v>
      </c>
      <c r="AF19" s="830">
        <f t="shared" si="8"/>
        <v>0</v>
      </c>
      <c r="AG19" s="831">
        <f t="shared" si="8"/>
        <v>0</v>
      </c>
      <c r="AH19" s="832">
        <f t="shared" si="8"/>
        <v>0</v>
      </c>
      <c r="AI19" s="830">
        <f t="shared" si="8"/>
        <v>0</v>
      </c>
      <c r="AJ19" s="820">
        <f t="shared" si="8"/>
        <v>160</v>
      </c>
      <c r="AK19" s="820">
        <f t="shared" si="8"/>
        <v>324</v>
      </c>
      <c r="AL19" s="820">
        <f t="shared" si="8"/>
        <v>0</v>
      </c>
      <c r="AM19" s="833">
        <f t="shared" si="8"/>
        <v>0</v>
      </c>
      <c r="AN19" s="823">
        <f>IF(ISNUMBER(Datos!K19/Datos!J19),Datos!K19/Datos!J19," - ")</f>
        <v>0.64204545454545459</v>
      </c>
      <c r="AO19" s="823">
        <f>IF(ISNUMBER(FIND("06",Criterios!A8,1)),(IF(ISNUMBER(((Datos!R19/Datos!Q19)*11)/factor_trimestre),((Datos!R19/Datos!Q19)*11)/factor_trimestre," - ")),(IF(ISNUMBER(((Datos!L19/Datos!K19)*11)/factor_trimestre),((Datos!L19/Datos!K19)*11)/factor_trimestre," - ")))</f>
        <v>16.669616519174042</v>
      </c>
      <c r="AP19" s="834" t="str">
        <f>IF(ISNUMBER(Datos!CI19/Datos!CJ19),Datos!CI19/Datos!CJ19," - ")</f>
        <v xml:space="preserve"> - </v>
      </c>
      <c r="AQ19" s="834">
        <f>IF(OR(ISNUMBER(FIND("01",Criterios!A8,1)),ISNUMBER(FIND("02",Criterios!A8,1)),ISNUMBER(FIND("03",Criterios!A8,1)),ISNUMBER(FIND("04",Criterios!A8,1))),(J19-Y19+K19)/(F19-K19),(I19-Y19+K19)/(F19-K19))</f>
        <v>-0.29763779527559053</v>
      </c>
      <c r="AR19" s="834">
        <f>IF(ISNUMBER((Datos!P19-Datos!Q19+O19)/(Datos!R19-Datos!P19+Datos!Q19-O19)),(Datos!P19-Datos!Q19+O19)/(Datos!R19-Datos!P19+Datos!Q19-O19)," - ")</f>
        <v>4.1492196421773889E-2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831.2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1098.6975622678578</v>
      </c>
      <c r="G21" s="552">
        <f>IF(ISNUMBER(STDEV(G8:G18)),STDEV(G8:G18),"-")</f>
        <v>1062.3804403319932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41.783569338517097</v>
      </c>
      <c r="AK21" s="252"/>
      <c r="AL21" s="252">
        <f>IF(ISNUMBER(STDEV(AL8:AL18)),STDEV(AL8:AL18),"-")</f>
        <v>0</v>
      </c>
      <c r="AM21" s="254">
        <f>IF(ISNUMBER(STDEV(AM8:AM18)),STDEV(AM8:AM18),"-")</f>
        <v>0</v>
      </c>
      <c r="AN21" s="539">
        <f>IF(ISNUMBER(STDEV(AN8:AN18)),STDEV(AN8:AN18),"-")</f>
        <v>0</v>
      </c>
      <c r="AO21" s="540">
        <f>IF(ISNUMBER(STDEV(AO8:AO18)),STDEV(AO8:AO18),"-")</f>
        <v>5.1654002554001028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zS24RKUXKRs1NAqkGBysaGc7y1bZnWEakQ7YScPxLGzjZS318eutIzKxJDkvrg6ACnHRZV7rCeKP44vRhR9nDg==" saltValue="Lq5v9vVEHh9ZznPw7uNL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iN1mdMgUv0b6mzWAdzW9o2L39/JttL4Z/di0daV2+QZ+As6K9q6RiiL6WBCTtnJg0BZkYC3ASm7siLxmW+dsQ==" saltValue="ZQTe7PxvDujXzpBDOgqb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H1YrN7Yhwfo6uldfjyistdrFMj7WnC36iRKENnSudoVEt+2U3Qbh9HBZB2akKnp2xZ9vLcETcDVFWnoixHyiA==" saltValue="wmc+ASy1WSbAb+7Erny68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MOGUER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0.21153846153846154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0.14958028063561582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i2DkSnvWAT95mAVCZK8AxX3mMd+J4DjhVDLKSXGzWYCO/dNiBLwKMAMVhkObJkwO/IlWx1hD1pcIM9f+9Jv9zw==" saltValue="/Ql5MMTwkHpRAciC5F/Z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Y8sd21i7uQ21RbXL1hhQE9kzChrLSqvxetGTG+nxHsMaIzo+MD6Fzd6lMbI7uA2Zdg5+rmZ6El2QyK0IE/ZFaA==" saltValue="ABHkIMaRo6uEFN7n1icX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MOGUER</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0</v>
      </c>
      <c r="H10" s="404">
        <f>IF(ISNUMBER(G10/B10),G10/B10," - ")</f>
        <v>0</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3067</v>
      </c>
      <c r="D12" s="404">
        <f>IF(ISNUMBER(C12/Datos!BH12),C12/Datos!BH12," - ")</f>
        <v>1533.5</v>
      </c>
      <c r="E12" s="403">
        <f>IF(ISNUMBER(IF(J_V="SI",Datos!J12,Datos!J12+Datos!Z12)),IF(J_V="SI",Datos!J12,Datos!J12+Datos!Z12)," - ")</f>
        <v>782</v>
      </c>
      <c r="F12" s="404">
        <f>IF(ISNUMBER(E12/B12),E12/B12," - ")</f>
        <v>391</v>
      </c>
      <c r="G12" s="403">
        <f>IF(ISNUMBER(IF(J_V="SI",Datos!K12,Datos!K12+Datos!AA12)),IF(J_V="SI",Datos!K12,Datos!K12+Datos!AA12)," - ")</f>
        <v>468</v>
      </c>
      <c r="H12" s="404">
        <f>IF(ISNUMBER(G12/B12),G12/B12," - ")</f>
        <v>234</v>
      </c>
      <c r="I12" s="403">
        <f>IF(ISNUMBER(IF(J_V="SI",Datos!L12,Datos!L12+Datos!AB12)),IF(J_V="SI",Datos!L12,Datos!L12+Datos!AB12)," - ")</f>
        <v>3381</v>
      </c>
      <c r="J12" s="404">
        <f>IF(ISNUMBER(I12/B12),I12/B12," - ")</f>
        <v>1690.5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3068</v>
      </c>
      <c r="D13" s="850" t="str">
        <f>IF(ISNUMBER(C13/Datos!BI13),C13/Datos!BI13," - ")</f>
        <v xml:space="preserve"> - </v>
      </c>
      <c r="E13" s="849">
        <f>SUBTOTAL(9,E8:E12)</f>
        <v>783</v>
      </c>
      <c r="F13" s="850">
        <f>IF(ISNUMBER(E13/B13),E13/B13," - ")</f>
        <v>391.5</v>
      </c>
      <c r="G13" s="849">
        <f>SUBTOTAL(9,G8:G12)</f>
        <v>468</v>
      </c>
      <c r="H13" s="850">
        <f>IF(ISNUMBER(G13/B13),G13/B13," - ")</f>
        <v>234</v>
      </c>
      <c r="I13" s="849">
        <f>SUBTOTAL(9,I8:I12)</f>
        <v>3383</v>
      </c>
      <c r="J13" s="850">
        <f>IF(ISNUMBER(I13/B13),I13/B13," - ")</f>
        <v>1691.5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1904</v>
      </c>
      <c r="D16" s="404">
        <f>IF(ISNUMBER(C16/Datos!BH16),C16/Datos!BH16," - ")</f>
        <v>952</v>
      </c>
      <c r="E16" s="403">
        <f>IF(ISNUMBER(IF(D_I="SI",Datos!J16,Datos!J16+Datos!AD16)),IF(D_I="SI",Datos!J16,Datos!J16+Datos!AD16)," - ")</f>
        <v>748</v>
      </c>
      <c r="F16" s="404">
        <f>IF(ISNUMBER(E16/B16),E16/B16," - ")</f>
        <v>374</v>
      </c>
      <c r="G16" s="403">
        <f>IF(ISNUMBER(IF(D_I="SI",Datos!K16,Datos!K16+Datos!AE16)),IF(D_I="SI",Datos!K16,Datos!K16+Datos!AE16)," - ")</f>
        <v>518</v>
      </c>
      <c r="H16" s="404">
        <f>IF(ISNUMBER(G16/B16),G16/B16," - ")</f>
        <v>259</v>
      </c>
      <c r="I16" s="403">
        <f>IF(ISNUMBER(IF(D_I="SI",Datos!L16,Datos!L16+Datos!AF16)),IF(D_I="SI",Datos!L16,Datos!L16+Datos!AF16)," - ")</f>
        <v>2134</v>
      </c>
      <c r="J16" s="404">
        <f>IF(ISNUMBER(I16/B16),I16/B16," - ")</f>
        <v>1067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173</v>
      </c>
      <c r="D17" s="404">
        <f>IF(ISNUMBER(C17/Datos!BH17),C17/Datos!BH17," - ")</f>
        <v>173</v>
      </c>
      <c r="E17" s="403">
        <f>IF(ISNUMBER(IF(D_I="SI",Datos!J17,Datos!J17+Datos!AD17)),IF(D_I="SI",Datos!J17,Datos!J17+Datos!AD17)," - ")</f>
        <v>73</v>
      </c>
      <c r="F17" s="404">
        <f>IF(ISNUMBER(E17/B17),E17/B17," - ")</f>
        <v>73</v>
      </c>
      <c r="G17" s="403">
        <f>IF(ISNUMBER(IF(D_I="SI",Datos!K17,Datos!K17+Datos!AE17)),IF(D_I="SI",Datos!K17,Datos!K17+Datos!AE17)," - ")</f>
        <v>49</v>
      </c>
      <c r="H17" s="404">
        <f>IF(ISNUMBER(G17/B17),G17/B17," - ")</f>
        <v>49</v>
      </c>
      <c r="I17" s="403">
        <f>IF(ISNUMBER(IF(D_I="SI",Datos!L17,Datos!L17+Datos!AF17)),IF(D_I="SI",Datos!L17,Datos!L17+Datos!AF17)," - ")</f>
        <v>197</v>
      </c>
      <c r="J17" s="404">
        <f>IF(ISNUMBER(I17/B17),I17/B17," - ")</f>
        <v>197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2077</v>
      </c>
      <c r="D18" s="850" t="str">
        <f>IF(ISNUMBER(C18/Datos!BI18),C18/Datos!BI18," - ")</f>
        <v xml:space="preserve"> - </v>
      </c>
      <c r="E18" s="849">
        <f>SUBTOTAL(9,E14:E17)</f>
        <v>821</v>
      </c>
      <c r="F18" s="850">
        <f>IF(ISNUMBER(E18/B18),E18/B18," - ")</f>
        <v>410.5</v>
      </c>
      <c r="G18" s="849">
        <f>SUBTOTAL(9,G14:G17)</f>
        <v>567</v>
      </c>
      <c r="H18" s="850">
        <f>IF(ISNUMBER(G18/B18),G18/B18," - ")</f>
        <v>283.5</v>
      </c>
      <c r="I18" s="849">
        <f>SUBTOTAL(9,I14:I17)</f>
        <v>2331</v>
      </c>
      <c r="J18" s="850">
        <f>IF(ISNUMBER(I18/B18),I18/B18," - ")</f>
        <v>1165.5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5145</v>
      </c>
      <c r="D19" s="795" t="str">
        <f>IF(ISNUMBER(C19/Datos!BI19),C19/Datos!BI19," - ")</f>
        <v xml:space="preserve"> - </v>
      </c>
      <c r="E19" s="794">
        <f>SUBTOTAL(9,E9:E18)</f>
        <v>1604</v>
      </c>
      <c r="F19" s="795">
        <f>IF(ISNUMBER(E19/B19),E19/B19," - ")</f>
        <v>802</v>
      </c>
      <c r="G19" s="794">
        <f>SUBTOTAL(9,G9:G18)</f>
        <v>1035</v>
      </c>
      <c r="H19" s="795">
        <f>IF(ISNUMBER(G19/B19),G19/B19," - ")</f>
        <v>517.5</v>
      </c>
      <c r="I19" s="794">
        <f>SUBTOTAL(9,I9:I18)</f>
        <v>5714</v>
      </c>
      <c r="J19" s="795">
        <f>IF(ISNUMBER(I19/B19),I19/B19," - ")</f>
        <v>2857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uRkBsBa+MZU2J5D8EbPvVng0X42TQzob8dQJ6+HohSHF1itz3J3+vpJ3D8my2jpVRCeDWgmlXHpQvS622xJPg==" saltValue="wVta2QErkwKPyiCtMjKr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MOGUER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2629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99</v>
      </c>
      <c r="AM12" s="690">
        <f>IF(ISNUMBER(Datos!N12+DatosP!N16),Datos!N12+DatosP!N16," - ")</f>
        <v>61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21.673076923076923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4.3668122270742356E-2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165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55</v>
      </c>
      <c r="AE13" s="939">
        <f t="shared" si="1"/>
        <v>0</v>
      </c>
      <c r="AF13" s="939">
        <f t="shared" si="1"/>
        <v>2</v>
      </c>
      <c r="AG13" s="939">
        <f t="shared" si="1"/>
        <v>0</v>
      </c>
      <c r="AH13" s="939">
        <f t="shared" si="1"/>
        <v>2629</v>
      </c>
      <c r="AI13" s="939">
        <f t="shared" si="1"/>
        <v>0</v>
      </c>
      <c r="AJ13" s="939">
        <f t="shared" si="1"/>
        <v>0</v>
      </c>
      <c r="AK13" s="939">
        <f t="shared" si="1"/>
        <v>0</v>
      </c>
      <c r="AL13" s="939">
        <f t="shared" si="1"/>
        <v>99</v>
      </c>
      <c r="AM13" s="939">
        <f t="shared" si="1"/>
        <v>61</v>
      </c>
      <c r="AN13" s="939">
        <f t="shared" si="1"/>
        <v>0</v>
      </c>
      <c r="AO13" s="939">
        <f t="shared" si="1"/>
        <v>0</v>
      </c>
      <c r="AP13" s="944">
        <f>IF(ISNUMBER(((Datos!L13/Datos!K13)*11)/factor_trimestre),((Datos!L13/Datos!K13)*11)/factor_trimestre," - ")</f>
        <v>22.133333333333336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4.3668122270742356E-2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12.333333333333332</v>
      </c>
      <c r="AQ18" s="944">
        <f>IF(ISNUMBER(((Datos!M18/Datos!L18)*11)/factor_trimestre),((Datos!M18/Datos!L18)*11)/factor_trimestre," - ")</f>
        <v>7.8507078507078512E-2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-9.2592592592592587E-3</v>
      </c>
      <c r="AW18" s="946">
        <f>IF(ISNUMBER((Datos!Q18-Datos!R18)/(Datos!S18-Datos!Q18+Datos!R18)),(Datos!Q18-Datos!R18)/(Datos!S18-Datos!Q18+Datos!R18)," - ")</f>
        <v>-5.9021922428330521E-2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165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55</v>
      </c>
      <c r="AE19" s="957">
        <f t="shared" si="5"/>
        <v>0</v>
      </c>
      <c r="AF19" s="958">
        <f t="shared" si="5"/>
        <v>2</v>
      </c>
      <c r="AG19" s="958">
        <f t="shared" si="5"/>
        <v>0</v>
      </c>
      <c r="AH19" s="958">
        <f t="shared" si="5"/>
        <v>2629</v>
      </c>
      <c r="AI19" s="958">
        <f t="shared" si="5"/>
        <v>0</v>
      </c>
      <c r="AJ19" s="959">
        <f t="shared" si="5"/>
        <v>0</v>
      </c>
      <c r="AK19" s="959">
        <f t="shared" si="5"/>
        <v>0</v>
      </c>
      <c r="AL19" s="951">
        <f t="shared" si="5"/>
        <v>99</v>
      </c>
      <c r="AM19" s="951">
        <f t="shared" si="5"/>
        <v>61</v>
      </c>
      <c r="AN19" s="951">
        <f t="shared" si="5"/>
        <v>0</v>
      </c>
      <c r="AO19" s="951">
        <f t="shared" si="5"/>
        <v>0</v>
      </c>
      <c r="AP19" s="951">
        <f>IF(ISNUMBER(((Datos!L19/Datos!K19)*11)/factor_trimestre),((Datos!L19/Datos!K19)*11)/factor_trimestre," - ")</f>
        <v>16.669616519174042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4.1492196421773889E-2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57.157676649772952</v>
      </c>
      <c r="AM21" s="736"/>
      <c r="AN21" s="736">
        <f>IF(ISNUMBER(STDEV(AN8:AN18)),STDEV(AN8:AN18),"-")</f>
        <v>0</v>
      </c>
      <c r="AO21" s="742">
        <f>IF(ISNUMBER(STDEV(AO8:AO18)),STDEV(AO8:AO18),"-")</f>
        <v>0</v>
      </c>
      <c r="AP21" s="779">
        <f>IF(ISNUMBER(STDEV(AP8:AP18)),STDEV(AP8:AP18),"-")</f>
        <v>5.5299585032400129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i4hQ5T10qYz6zR80EWgVk+EnKpJ06WQw3vmmMO5jB1OnKqVR124VyZbVryjh73OFxqzcVVNYxr8LgQKYMhzmzA==" saltValue="K6SbE3I9034AUgGmpW00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MOGUER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9OgWRtFiRkddWDDfqLUkr5iUc46GMyLWjrupvlOjDhG30X1u7QEV0k3qtOVgaqX+kZuxueVBPnZreyXZ+BktgA==" saltValue="GvcVX1U8LNwz3nAeagIt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MOGUER</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99</v>
      </c>
      <c r="E12" s="404">
        <f t="shared" si="0"/>
        <v>49.5</v>
      </c>
      <c r="F12" s="403">
        <f>IF(ISNUMBER(Datos!N12),Datos!N12," - ")</f>
        <v>61</v>
      </c>
      <c r="G12" s="404">
        <f t="shared" si="1"/>
        <v>30.5</v>
      </c>
      <c r="H12" s="403">
        <f>IF(ISNUMBER(Datos!O12),Datos!O12," - ")</f>
        <v>113</v>
      </c>
      <c r="I12" s="404">
        <f t="shared" si="2"/>
        <v>56.5</v>
      </c>
      <c r="BZ12" s="1186">
        <f>Datos!EZ12</f>
        <v>0</v>
      </c>
    </row>
    <row r="13" spans="1:78" ht="14.25" thickTop="1" thickBot="1">
      <c r="A13" s="848" t="str">
        <f>Datos!A13</f>
        <v>TOTAL</v>
      </c>
      <c r="B13" s="849">
        <f>Datos!AP13</f>
        <v>2</v>
      </c>
      <c r="C13" s="851">
        <f>Datos!AR13</f>
        <v>2</v>
      </c>
      <c r="D13" s="849">
        <f>SUBTOTAL(9,D9:D12)</f>
        <v>99</v>
      </c>
      <c r="E13" s="850">
        <f t="shared" si="0"/>
        <v>49.5</v>
      </c>
      <c r="F13" s="849">
        <f>SUBTOTAL(9,F9:F12)</f>
        <v>61</v>
      </c>
      <c r="G13" s="850">
        <f t="shared" si="1"/>
        <v>30.5</v>
      </c>
      <c r="H13" s="849">
        <f>SUBTOTAL(9,H9:H12)</f>
        <v>113</v>
      </c>
      <c r="I13" s="850">
        <f>IF(ISNUMBER(H13/B13),H13/B13," - ")</f>
        <v>56.5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48</v>
      </c>
      <c r="E16" s="404">
        <f t="shared" si="3"/>
        <v>24</v>
      </c>
      <c r="F16" s="403">
        <f>IF(ISNUMBER(Datos!N16),Datos!N16," - ")</f>
        <v>240</v>
      </c>
      <c r="G16" s="404">
        <f t="shared" si="4"/>
        <v>120</v>
      </c>
      <c r="H16" s="403">
        <f>IF(ISNUMBER(Datos!O16),Datos!O16," - ")</f>
        <v>2</v>
      </c>
      <c r="I16" s="404">
        <f t="shared" si="5"/>
        <v>1</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23</v>
      </c>
      <c r="G17" s="404">
        <f>IF(ISNUMBER(F17/B17),F17/B17," - ")</f>
        <v>23</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61</v>
      </c>
      <c r="E18" s="850">
        <f t="shared" si="3"/>
        <v>30.5</v>
      </c>
      <c r="F18" s="849">
        <f>SUBTOTAL(9,F15:F17)</f>
        <v>263</v>
      </c>
      <c r="G18" s="850">
        <f t="shared" si="4"/>
        <v>131.5</v>
      </c>
      <c r="H18" s="849">
        <f>SUBTOTAL(9,H15:H17)</f>
        <v>2</v>
      </c>
      <c r="I18" s="850">
        <f>IF(ISNUMBER(H18/B18),H18/B18," - ")</f>
        <v>1</v>
      </c>
      <c r="BZ18" s="1186"/>
    </row>
    <row r="19" spans="1:78" ht="14.25" thickTop="1" thickBot="1">
      <c r="A19" s="793" t="str">
        <f>Datos!A19</f>
        <v>TOTAL JURISDICCIONES</v>
      </c>
      <c r="B19" s="794">
        <f>Datos!AP19</f>
        <v>2</v>
      </c>
      <c r="C19" s="794">
        <f>Datos!AR19</f>
        <v>2</v>
      </c>
      <c r="D19" s="794">
        <f>SUBTOTAL(9,D8:D18)</f>
        <v>160</v>
      </c>
      <c r="E19" s="795">
        <f>IF(ISNUMBER(D19/B19),D19/B19," - ")</f>
        <v>80</v>
      </c>
      <c r="F19" s="794">
        <f>SUBTOTAL(9,F8:F18)</f>
        <v>324</v>
      </c>
      <c r="G19" s="795">
        <f>IF(ISNUMBER(F19/B19),F19/B19," - ")</f>
        <v>162</v>
      </c>
      <c r="H19" s="794">
        <f>SUBTOTAL(9,H8:H18)</f>
        <v>115</v>
      </c>
      <c r="I19" s="795">
        <f>IF(ISNUMBER(H19/B19),H19/B19," - ")</f>
        <v>57.5</v>
      </c>
    </row>
    <row r="22" spans="1:78">
      <c r="A22" s="391" t="str">
        <f>Criterios!A4</f>
        <v>Fecha Informe: 03 jun. 2025</v>
      </c>
    </row>
    <row r="27" spans="1:78">
      <c r="A27" s="414"/>
    </row>
  </sheetData>
  <sheetProtection algorithmName="SHA-512" hashValue="MDY4/vRkn1AUNQf9eazO4USIKUyeDVEWAvBLoKYfpems819bGcAHoolm2BStFc5+uNVWTPmOcSMQCtJgGeU1aw==" saltValue="/1eA6aEsIBB3rK4fHk/1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MOGUER</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165</v>
      </c>
      <c r="C12" s="434">
        <f>IF(ISNUMBER(Datos!Q12),Datos!Q12," - ")</f>
        <v>55</v>
      </c>
      <c r="D12" s="408">
        <f>IF(ISNUMBER(Datos!R12),Datos!R12," - ")</f>
        <v>2629</v>
      </c>
    </row>
    <row r="13" spans="1:4" ht="14.25" thickTop="1" thickBot="1">
      <c r="A13" s="848" t="str">
        <f>Datos!A13</f>
        <v>TOTAL</v>
      </c>
      <c r="B13" s="849">
        <f>SUBTOTAL(9,B9:B12)</f>
        <v>165</v>
      </c>
      <c r="C13" s="853">
        <f>SUBTOTAL(9,C9:C12)</f>
        <v>55</v>
      </c>
      <c r="D13" s="851">
        <f>SUBTOTAL(9,D9:D12)</f>
        <v>2629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2</v>
      </c>
      <c r="D16" s="408">
        <f>IF(ISNUMBER(Datos!R16),Datos!R16," - ")</f>
        <v>107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2</v>
      </c>
      <c r="D18" s="851">
        <f>SUBTOTAL(9,D15:D17)</f>
        <v>107</v>
      </c>
    </row>
    <row r="19" spans="1:4" ht="16.5" customHeight="1" thickTop="1" thickBot="1">
      <c r="A19" s="793" t="str">
        <f>Datos!A19</f>
        <v>TOTAL JURISDICCIONES</v>
      </c>
      <c r="B19" s="798">
        <f>SUBTOTAL(9,B8:B18)</f>
        <v>166</v>
      </c>
      <c r="C19" s="799">
        <f>SUBTOTAL(9,C8:C18)</f>
        <v>57</v>
      </c>
      <c r="D19" s="800">
        <f>SUBTOTAL(9,D8:D18)</f>
        <v>2736</v>
      </c>
    </row>
    <row r="20" spans="1:4" ht="7.5" customHeight="1"/>
    <row r="21" spans="1:4" ht="6" customHeight="1"/>
    <row r="22" spans="1:4">
      <c r="A22" s="391" t="str">
        <f>Criterios!A4</f>
        <v>Fecha Informe: 03 jun. 2025</v>
      </c>
    </row>
    <row r="27" spans="1:4">
      <c r="A27" s="414"/>
    </row>
  </sheetData>
  <sheetProtection algorithmName="SHA-512" hashValue="orWG3ISfdpwIqrRT96VUdt6URy+0BGd1n0lt4+AdBD0vgh3XoTU9qm6//uVDFLyU4Vmd8IvtwLRFDk7zbshEVw==" saltValue="LryerH7pWcKGdzDfbbhw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MOGUER</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0.24019409623938537</v>
      </c>
      <c r="C12" s="456">
        <f>IF(ISNUMBER(
   IF(J_V="SI",(Datos!J12-Datos!T12)/Datos!T12,(Datos!J12+Datos!Z12-(Datos!T12+Datos!AH12))/(Datos!T12+Datos!AH12))
     ),IF(J_V="SI",(Datos!J12-Datos!T12)/Datos!T12,(Datos!J12+Datos!Z12-(Datos!T12+Datos!AH12))/(Datos!T12+Datos!AH12))," - ")</f>
        <v>0.19938650306748465</v>
      </c>
      <c r="D12" s="456">
        <f>IF(ISNUMBER(
   IF(J_V="SI",(Datos!K12-Datos!U12)/Datos!U12,(Datos!K12+Datos!AA12-(Datos!U12+Datos!AI12))/(Datos!U12+Datos!AI12))
     ),IF(J_V="SI",(Datos!K12-Datos!U12)/Datos!U12,(Datos!K12+Datos!AA12-(Datos!U12+Datos!AI12))/(Datos!U12+Datos!AI12))," - ")</f>
        <v>-0.27216174183514774</v>
      </c>
      <c r="E12" s="456">
        <f>IF(ISNUMBER(
   IF(J_V="SI",(Datos!L12-Datos!V12)/Datos!V12,(Datos!L12+Datos!AB12-(Datos!V12+Datos!AJ12))/(Datos!V12+Datos!AJ12))
     ),IF(J_V="SI",(Datos!L12-Datos!V12)/Datos!V12,(Datos!L12+Datos!AB12-(Datos!V12+Datos!AJ12))/(Datos!V12+Datos!AJ12))," - ")</f>
        <v>0.36220789685737309</v>
      </c>
      <c r="F12" s="456">
        <f>IF(ISNUMBER((Datos!M12-Datos!W12)/Datos!W12),(Datos!M12-Datos!W12)/Datos!W12," - ")</f>
        <v>0.13793103448275862</v>
      </c>
      <c r="G12" s="457">
        <f>IF(ISNUMBER((Datos!N12-Datos!X12)/Datos!X12),(Datos!N12-Datos!X12)/Datos!X12," - ")</f>
        <v>-0.62576687116564422</v>
      </c>
      <c r="H12" s="455">
        <f>IF(ISNUMBER(((NºAsuntos!G12/NºAsuntos!E12)-Datos!BD12)/Datos!BD12),((NºAsuntos!G12/NºAsuntos!E12)-Datos!BD12)/Datos!BD12," - ")</f>
        <v>-0.39315787170910016</v>
      </c>
      <c r="I12" s="456">
        <f>IF(ISNUMBER(((NºAsuntos!I12/NºAsuntos!G12)-Datos!BE12)/Datos!BE12),((NºAsuntos!I12/NºAsuntos!G12)-Datos!BE12)/Datos!BE12," - ")</f>
        <v>0.87158050786173269</v>
      </c>
      <c r="J12" s="461">
        <f>IF(ISNUMBER((('Resol  Asuntos'!D12/NºAsuntos!G12)-Datos!BF12)/Datos!BF12),(('Resol  Asuntos'!D12/NºAsuntos!G12)-Datos!BF12)/Datos!BF12," - ")</f>
        <v>-0.16552619159981119</v>
      </c>
      <c r="K12" s="462">
        <f>IF(ISNUMBER((((NºAsuntos!C12+NºAsuntos!E12)/NºAsuntos!G12)-Datos!BG12)/Datos!BG12),(((NºAsuntos!C12+NºAsuntos!E12)/NºAsuntos!G12)-Datos!BG12)/Datos!BG12," - ")</f>
        <v>0.69224410256410274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0.24059846340477153</v>
      </c>
      <c r="C13" s="855">
        <f>IF(ISNUMBER(
   IF(J_V="SI",(Datos!J13-Datos!T13)/Datos!T13,(Datos!J13+Datos!Z13-(Datos!T13+Datos!AH13))/(Datos!T13+Datos!AH13))
     ),IF(J_V="SI",(Datos!J13-Datos!T13)/Datos!T13,(Datos!J13+Datos!Z13-(Datos!T13+Datos!AH13))/(Datos!T13+Datos!AH13))," - ")</f>
        <v>0.19908116385911179</v>
      </c>
      <c r="D13" s="855">
        <f>IF(ISNUMBER(
   IF(J_V="SI",(Datos!K13-Datos!U13)/Datos!U13,(Datos!K13+Datos!AA13-(Datos!U13+Datos!AI13))/(Datos!U13+Datos!AI13))
     ),IF(J_V="SI",(Datos!K13-Datos!U13)/Datos!U13,(Datos!K13+Datos!AA13-(Datos!U13+Datos!AI13))/(Datos!U13+Datos!AI13))," - ")</f>
        <v>-0.27216174183514774</v>
      </c>
      <c r="E13" s="855">
        <f>IF(ISNUMBER(
   IF(J_V="SI",(Datos!L13-Datos!V13)/Datos!V13,(Datos!L13+Datos!AB13-(Datos!V13+Datos!AJ13))/(Datos!V13+Datos!AJ13))
     ),IF(J_V="SI",(Datos!L13-Datos!V13)/Datos!V13,(Datos!L13+Datos!AB13-(Datos!V13+Datos!AJ13))/(Datos!V13+Datos!AJ13))," - ")</f>
        <v>0.36246476037051956</v>
      </c>
      <c r="F13" s="856">
        <f>IF(ISNUMBER((Datos!M13-Datos!W13)/Datos!W13),(Datos!M13-Datos!W13)/Datos!W13," - ")</f>
        <v>0.13793103448275862</v>
      </c>
      <c r="G13" s="857">
        <f>IF(ISNUMBER((Datos!N13-Datos!X13)/Datos!X13),(Datos!N13-Datos!X13)/Datos!X13," - ")</f>
        <v>-0.62576687116564422</v>
      </c>
      <c r="H13" s="857">
        <f>IF(ISNUMBER(((NºAsuntos!G13/NºAsuntos!E13)-Datos!BD13)/Datos!BD13),((NºAsuntos!G13/NºAsuntos!E13)-Datos!BD13)/Datos!BD13," - ")</f>
        <v>-0.39300334280760085</v>
      </c>
      <c r="I13" s="857">
        <f>IF(ISNUMBER(((NºAsuntos!I13/NºAsuntos!G13)-Datos!BE13)/Datos!BE13),((NºAsuntos!I13/NºAsuntos!G13)-Datos!BE13)/Datos!BE13," - ")</f>
        <v>0.87193342076547875</v>
      </c>
      <c r="J13" s="857">
        <f>IF(ISNUMBER((('Resol  Asuntos'!D13/NºAsuntos!G13)-Datos!BF13)/Datos!BF13),(('Resol  Asuntos'!D13/NºAsuntos!G13)-Datos!BF13)/Datos!BF13," - ")</f>
        <v>-0.16552619159981119</v>
      </c>
      <c r="K13" s="857">
        <f>IF(ISNUMBER((((NºAsuntos!C13+NºAsuntos!E13)/NºAsuntos!G13)-Datos!BG13)/Datos!BG13),(((NºAsuntos!C13+NºAsuntos!E13)/NºAsuntos!G13)-Datos!BG13)/Datos!BG13," - ")</f>
        <v>0.69258179262977726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0.20582647245091831</v>
      </c>
      <c r="C16" s="456">
        <f>IF(ISNUMBER(
   IF(D_I="SI",(Datos!J16-Datos!T16)/Datos!T16,(Datos!J16+Datos!AD16-(Datos!T16+Datos!AL16))/(Datos!T16+Datos!AL16))
     ),IF(D_I="SI",(Datos!J16-Datos!T16)/Datos!T16,(Datos!J16+Datos!AD16-(Datos!T16+Datos!AL16))/(Datos!T16+Datos!AL16))," - ")</f>
        <v>0.19298245614035087</v>
      </c>
      <c r="D16" s="456">
        <f>IF(ISNUMBER(
   IF(D_I="SI",(Datos!K16-Datos!U16)/Datos!U16,(Datos!K16+Datos!AE16-(Datos!U16+Datos!AM16))/(Datos!U16+Datos!AM16))
     ),IF(D_I="SI",(Datos!K16-Datos!U16)/Datos!U16,(Datos!K16+Datos!AE16-(Datos!U16+Datos!AM16))/(Datos!U16+Datos!AM16))," - ")</f>
        <v>-4.779411764705882E-2</v>
      </c>
      <c r="E16" s="456">
        <f>IF(ISNUMBER(
   IF(D_I="SI",(Datos!L16-Datos!V16)/Datos!V16,(Datos!L16+Datos!AF16-(Datos!V16+Datos!AN16))/(Datos!V16+Datos!AN16))
     ),IF(D_I="SI",(Datos!L16-Datos!V16)/Datos!V16,(Datos!L16+Datos!AF16-(Datos!V16+Datos!AN16))/(Datos!V16+Datos!AN16))," - ")</f>
        <v>0.28399518652226236</v>
      </c>
      <c r="F16" s="456">
        <f>IF(ISNUMBER((Datos!M16-Datos!W16)/Datos!W16),(Datos!M16-Datos!W16)/Datos!W16," - ")</f>
        <v>-0.61904761904761907</v>
      </c>
      <c r="G16" s="457">
        <f>IF(ISNUMBER((Datos!N16-Datos!X16)/Datos!X16),(Datos!N16-Datos!X16)/Datos!X16," - ")</f>
        <v>-0.32773109243697479</v>
      </c>
      <c r="H16" s="455">
        <f>IF(ISNUMBER(((NºAsuntos!G16/NºAsuntos!E16)-Datos!BD16)/Datos!BD16),((NºAsuntos!G16/NºAsuntos!E16)-Datos!BD16)/Datos!BD16," - ")</f>
        <v>-0.20182742214532873</v>
      </c>
      <c r="I16" s="456">
        <f>IF(ISNUMBER(((NºAsuntos!I16/NºAsuntos!G16)-Datos!BE16)/Datos!BE16),((NºAsuntos!I16/NºAsuntos!G16)-Datos!BE16)/Datos!BE16," - ")</f>
        <v>0.34844282136700905</v>
      </c>
      <c r="J16" s="461">
        <f>IF(ISNUMBER((('Resol  Asuntos'!D16/NºAsuntos!G16)-Datos!BF16)/Datos!BF16),(('Resol  Asuntos'!D16/NºAsuntos!G16)-Datos!BF16)/Datos!BF16," - ")</f>
        <v>-0.59992645706931436</v>
      </c>
      <c r="K16" s="462">
        <f>IF(ISNUMBER((((NºAsuntos!C16+NºAsuntos!E16)/NºAsuntos!G16)-Datos!BG16)/Datos!BG16),(((NºAsuntos!C16+NºAsuntos!E16)/NºAsuntos!G16)-Datos!BG16)/Datos!BG16," - ")</f>
        <v>0.26251675843697614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0.82105263157894737</v>
      </c>
      <c r="C17" s="456">
        <f>IF(ISNUMBER(
   IF(D_I="SI",(Datos!J17-Datos!T17)/Datos!T17,(Datos!J17+Datos!AD17-(Datos!T17+Datos!AL17))/(Datos!T17+Datos!AL17))
     ),IF(D_I="SI",(Datos!J17-Datos!T17)/Datos!T17,(Datos!J17+Datos!AD17-(Datos!T17+Datos!AL17))/(Datos!T17+Datos!AL17))," - ")</f>
        <v>0.17741935483870969</v>
      </c>
      <c r="D17" s="456">
        <f>IF(ISNUMBER(
   IF(D_I="SI",(Datos!K17-Datos!U17)/Datos!U17,(Datos!K17+Datos!AE17-(Datos!U17+Datos!AM17))/(Datos!U17+Datos!AM17))
     ),IF(D_I="SI",(Datos!K17-Datos!U17)/Datos!U17,(Datos!K17+Datos!AE17-(Datos!U17+Datos!AM17))/(Datos!U17+Datos!AM17))," - ")</f>
        <v>0.58064516129032262</v>
      </c>
      <c r="E17" s="456">
        <f>IF(ISNUMBER(
   IF(D_I="SI",(Datos!L17-Datos!V17)/Datos!V17,(Datos!L17+Datos!AF17-(Datos!V17+Datos!AN17))/(Datos!V17+Datos!AN17))
     ),IF(D_I="SI",(Datos!L17-Datos!V17)/Datos!V17,(Datos!L17+Datos!AF17-(Datos!V17+Datos!AN17))/(Datos!V17+Datos!AN17))," - ")</f>
        <v>0.56349206349206349</v>
      </c>
      <c r="F17" s="456">
        <f>IF(ISNUMBER((Datos!M17-Datos!W17)/Datos!W17),(Datos!M17-Datos!W17)/Datos!W17," - ")</f>
        <v>0.8571428571428571</v>
      </c>
      <c r="G17" s="457">
        <f>IF(ISNUMBER((Datos!N17-Datos!X17)/Datos!X17),(Datos!N17-Datos!X17)/Datos!X17," - ")</f>
        <v>-0.08</v>
      </c>
      <c r="H17" s="455">
        <f>IF(ISNUMBER(((NºAsuntos!G17/NºAsuntos!E17)-Datos!BD17)/Datos!BD17),((NºAsuntos!G17/NºAsuntos!E17)-Datos!BD17)/Datos!BD17," - ")</f>
        <v>0.34246575342465757</v>
      </c>
      <c r="I17" s="456">
        <f>IF(ISNUMBER(((NºAsuntos!I17/NºAsuntos!G17)-Datos!BE17)/Datos!BE17),((NºAsuntos!I17/NºAsuntos!G17)-Datos!BE17)/Datos!BE17," - ")</f>
        <v>-1.0851959831551704E-2</v>
      </c>
      <c r="J17" s="461">
        <f>IF(ISNUMBER((('Resol  Asuntos'!D17/NºAsuntos!G17)-Datos!BF17)/Datos!BF17),(('Resol  Asuntos'!D17/NºAsuntos!G17)-Datos!BF17)/Datos!BF17," - ")</f>
        <v>0.17492711370262401</v>
      </c>
      <c r="K17" s="462">
        <f>IF(ISNUMBER((((NºAsuntos!C17+NºAsuntos!E17)/NºAsuntos!G17)-Datos!BG17)/Datos!BG17),(((NºAsuntos!C17+NºAsuntos!E17)/NºAsuntos!G17)-Datos!BG17)/Datos!BG17," - ")</f>
        <v>-8.7092161705446796E-3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0.24074074074074073</v>
      </c>
      <c r="C18" s="855">
        <f>IF(ISNUMBER(
   IF(Criterios!B14="SI",(Datos!J18-Datos!T18)/Datos!T18,(Datos!J18+Datos!AD18-(Datos!T18+Datos!AL18))/(Datos!T18+Datos!AL18))
     ),IF(Criterios!B14="SI",(Datos!J18-Datos!T18)/Datos!T18,(Datos!J18+Datos!AD18-(Datos!T18+Datos!AL18))/(Datos!T18+Datos!AL18))," - ")</f>
        <v>0.19158200290275762</v>
      </c>
      <c r="D18" s="855">
        <f>IF(ISNUMBER(
   IF(Criterios!B14="SI",(Datos!K18-Datos!U18)/Datos!U18,(Datos!K18+Datos!AE18-(Datos!U18+Datos!AM18))/(Datos!U18+Datos!AM18))
     ),IF(Criterios!B14="SI",(Datos!K18-Datos!U18)/Datos!U18,(Datos!K18+Datos!AE18-(Datos!U18+Datos!AM18))/(Datos!U18+Datos!AM18))," - ")</f>
        <v>-1.391304347826087E-2</v>
      </c>
      <c r="E18" s="855">
        <f>IF(ISNUMBER(
   IF(Criterios!B14="SI",(Datos!L18-Datos!V18)/Datos!V18,(Datos!L18+Datos!AF18-(Datos!V18+Datos!AN18))/(Datos!V18+Datos!AN18))
     ),IF(Criterios!B14="SI",(Datos!L18-Datos!V18)/Datos!V18,(Datos!L18+Datos!AF18-(Datos!V18+Datos!AN18))/(Datos!V18+Datos!AN18))," - ")</f>
        <v>0.30369127516778521</v>
      </c>
      <c r="F18" s="856">
        <f>IF(ISNUMBER((Datos!M18-Datos!W18)/Datos!W18),(Datos!M18-Datos!W18)/Datos!W18," - ")</f>
        <v>-0.54135338345864659</v>
      </c>
      <c r="G18" s="857">
        <f>IF(ISNUMBER((Datos!N18-Datos!X18)/Datos!X18),(Datos!N18-Datos!X18)/Datos!X18," - ")</f>
        <v>-0.31151832460732987</v>
      </c>
      <c r="H18" s="857">
        <f>IF(ISNUMBER(((NºAsuntos!G18/NºAsuntos!E18)-Datos!BD18)/Datos!BD18),((NºAsuntos!G18/NºAsuntos!E18)-Datos!BD18)/Datos!BD18," - ")</f>
        <v>-0.17245564793729817</v>
      </c>
      <c r="I18" s="857">
        <f>IF(ISNUMBER(((NºAsuntos!I18/NºAsuntos!G18)-Datos!BE18)/Datos!BE18),((NºAsuntos!I18/NºAsuntos!G18)-Datos!BE18)/Datos!BE18," - ")</f>
        <v>0.32208550832711891</v>
      </c>
      <c r="J18" s="857">
        <f>IF(ISNUMBER((('Resol  Asuntos'!D18/NºAsuntos!G18)-Datos!BF18)/Datos!BF18),(('Resol  Asuntos'!D18/NºAsuntos!G18)-Datos!BF18)/Datos!BF18," - ")</f>
        <v>-0.53488217899245472</v>
      </c>
      <c r="K18" s="857">
        <f>IF(ISNUMBER((((NºAsuntos!C18+NºAsuntos!E18)/NºAsuntos!G18)-Datos!BG18)/Datos!BG18),(((NºAsuntos!C18+NºAsuntos!E18)/NºAsuntos!G18)-Datos!BG18)/Datos!BG18," - ")</f>
        <v>0.24371091362204356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0.24065589582830962</v>
      </c>
      <c r="C19" s="802">
        <f>IF(ISNUMBER(
   IF(J_V="SI",(Datos!J19-Datos!T19)/Datos!T19,(Datos!J19+Datos!Z19-(Datos!T19+Datos!AH19))/(Datos!T19+Datos!AH19))
     ),IF(J_V="SI",(Datos!J19-Datos!T19)/Datos!T19,(Datos!J19+Datos!Z19-(Datos!T19+Datos!AH19))/(Datos!T19+Datos!AH19))," - ")</f>
        <v>0.19523099850968703</v>
      </c>
      <c r="D19" s="802">
        <f>IF(ISNUMBER(
   IF(J_V="SI",(Datos!K19-Datos!U19)/Datos!U19,(Datos!K19+Datos!AA19-(Datos!U19+Datos!AI19))/(Datos!U19+Datos!AI19))
     ),IF(J_V="SI",(Datos!K19-Datos!U19)/Datos!U19,(Datos!K19+Datos!AA19-(Datos!U19+Datos!AI19))/(Datos!U19+Datos!AI19))," - ")</f>
        <v>-0.15024630541871922</v>
      </c>
      <c r="E19" s="802">
        <f>IF(ISNUMBER(
   IF(J_V="SI",(Datos!L19-Datos!V19)/Datos!V19,(Datos!L19+Datos!AB19-(Datos!V19+Datos!AJ19))/(Datos!V19+Datos!AJ19))
     ),IF(J_V="SI",(Datos!L19-Datos!V19)/Datos!V19,(Datos!L19+Datos!AB19-(Datos!V19+Datos!AJ19))/(Datos!V19+Datos!AJ19))," - ")</f>
        <v>0.33785998595176775</v>
      </c>
      <c r="F19" s="803">
        <f>IF(ISNUMBER((Datos!M19-Datos!W19)/Datos!W19),(Datos!M19-Datos!W19)/Datos!W19," - ")</f>
        <v>-0.27272727272727271</v>
      </c>
      <c r="G19" s="804">
        <f>IF(ISNUMBER((Datos!N19-Datos!X19)/Datos!X19),(Datos!N19-Datos!X19)/Datos!X19," - ")</f>
        <v>-0.40550458715596333</v>
      </c>
      <c r="H19" s="805">
        <f>IF(ISNUMBER((Tasas!B19-Datos!BD19)/Datos!BD19),(Tasas!B19-Datos!BD19)/Datos!BD19," - ")</f>
        <v>-0.28904647248872894</v>
      </c>
      <c r="I19" s="806">
        <f>IF(ISNUMBER((Tasas!C19-Datos!BE19)/Datos!BE19),(Tasas!C19-Datos!BE19)/Datos!BE19," - ")</f>
        <v>0.57440914288816725</v>
      </c>
      <c r="J19" s="807">
        <f>IF(ISNUMBER((Tasas!D19-Datos!BF19)/Datos!BF19),(Tasas!D19-Datos!BF19)/Datos!BF19," - ")</f>
        <v>-0.36388562475519004</v>
      </c>
      <c r="K19" s="807">
        <f>IF(ISNUMBER((Tasas!E19-Datos!BG19)/Datos!BG19),(Tasas!E19-Datos!BG19)/Datos!BG19," - ")</f>
        <v>0.44694870637190043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y3RFZE0khw2wOZuzrhcDhR+SjF51rxMzlYKoRDmTnRIKpTXLR7jqgHMZ+g17d2Fvtz4dugp7vunZSZCJIXEtg==" saltValue="JGeJ2+Y0yBUyCr4Immnv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MOGUER</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0.59846547314578002</v>
      </c>
      <c r="C12" s="443">
        <f>IF(ISNUMBER(NºAsuntos!I12/NºAsuntos!G12),NºAsuntos!I12/NºAsuntos!G12," - ")</f>
        <v>7.2243589743589745</v>
      </c>
      <c r="D12" s="444">
        <f>IF(ISNUMBER('Resol  Asuntos'!D12/NºAsuntos!G12),'Resol  Asuntos'!D12/NºAsuntos!G12," - ")</f>
        <v>0.21153846153846154</v>
      </c>
      <c r="E12" s="445">
        <f>IF(ISNUMBER((NºAsuntos!C12+NºAsuntos!E12)/NºAsuntos!G12),(NºAsuntos!C12+NºAsuntos!E12)/NºAsuntos!G12," - ")</f>
        <v>8.2243589743589745</v>
      </c>
      <c r="G12" s="463"/>
    </row>
    <row r="13" spans="1:7" ht="14.25" thickTop="1" thickBot="1">
      <c r="A13" s="848" t="str">
        <f>Datos!A13</f>
        <v>TOTAL</v>
      </c>
      <c r="B13" s="858">
        <f>IF(ISNUMBER(NºAsuntos!G13/NºAsuntos!E13),NºAsuntos!G13/NºAsuntos!E13," - ")</f>
        <v>0.5977011494252874</v>
      </c>
      <c r="C13" s="859">
        <f>IF(ISNUMBER(NºAsuntos!I13/NºAsuntos!G13),NºAsuntos!I13/NºAsuntos!G13," - ")</f>
        <v>7.2286324786324787</v>
      </c>
      <c r="D13" s="860">
        <f>IF(ISNUMBER('Resol  Asuntos'!D13/NºAsuntos!G13),'Resol  Asuntos'!D13/NºAsuntos!G13," - ")</f>
        <v>0.21153846153846154</v>
      </c>
      <c r="E13" s="861">
        <f>IF(ISNUMBER((NºAsuntos!C13+NºAsuntos!E13)/NºAsuntos!G13),(NºAsuntos!C13+NºAsuntos!E13)/NºAsuntos!G13," - ")</f>
        <v>8.2286324786324787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0.69251336898395721</v>
      </c>
      <c r="C16" s="443">
        <f>IF(ISNUMBER(NºAsuntos!I16/NºAsuntos!G16),NºAsuntos!I16/NºAsuntos!G16," - ")</f>
        <v>4.1196911196911197</v>
      </c>
      <c r="D16" s="444">
        <f>IF(ISNUMBER('Resol  Asuntos'!D16/NºAsuntos!G16),'Resol  Asuntos'!D16/NºAsuntos!G16," - ")</f>
        <v>9.2664092664092659E-2</v>
      </c>
      <c r="E16" s="445">
        <f>IF(ISNUMBER((NºAsuntos!C16+NºAsuntos!E16)/NºAsuntos!G16),(NºAsuntos!C16+NºAsuntos!E16)/NºAsuntos!G16," - ")</f>
        <v>5.1196911196911197</v>
      </c>
      <c r="G16" s="463"/>
    </row>
    <row r="17" spans="1:7" ht="13.5" thickBot="1">
      <c r="A17" s="402" t="str">
        <f>Datos!A17</f>
        <v>Jdos. Violencia contra la mujer</v>
      </c>
      <c r="B17" s="442">
        <f>IF(ISNUMBER(NºAsuntos!G17/NºAsuntos!E17),NºAsuntos!G17/NºAsuntos!E17," - ")</f>
        <v>0.67123287671232879</v>
      </c>
      <c r="C17" s="443">
        <f>IF(ISNUMBER(NºAsuntos!I17/NºAsuntos!G17),NºAsuntos!I17/NºAsuntos!G17," - ")</f>
        <v>4.0204081632653059</v>
      </c>
      <c r="D17" s="444">
        <f>IF(ISNUMBER('Resol  Asuntos'!D17/NºAsuntos!G17),'Resol  Asuntos'!D17/NºAsuntos!G17," - ")</f>
        <v>0.26530612244897961</v>
      </c>
      <c r="E17" s="445">
        <f>IF(ISNUMBER((NºAsuntos!C17+NºAsuntos!E17)/NºAsuntos!G17),(NºAsuntos!C17+NºAsuntos!E17)/NºAsuntos!G17," - ")</f>
        <v>5.0204081632653059</v>
      </c>
      <c r="G17" s="463"/>
    </row>
    <row r="18" spans="1:7" ht="14.25" thickTop="1" thickBot="1">
      <c r="A18" s="848" t="str">
        <f>Datos!A18</f>
        <v>TOTAL</v>
      </c>
      <c r="B18" s="858">
        <f>IF(ISNUMBER(NºAsuntos!G18/NºAsuntos!E18),NºAsuntos!G18/NºAsuntos!E18," - ")</f>
        <v>0.69062119366626062</v>
      </c>
      <c r="C18" s="859">
        <f>IF(ISNUMBER(NºAsuntos!I18/NºAsuntos!G18),NºAsuntos!I18/NºAsuntos!G18," - ")</f>
        <v>4.1111111111111107</v>
      </c>
      <c r="D18" s="862">
        <f>IF(ISNUMBER('Resol  Asuntos'!D18/NºAsuntos!G18),'Resol  Asuntos'!D18/NºAsuntos!G18," - ")</f>
        <v>0.10758377425044091</v>
      </c>
      <c r="E18" s="861">
        <f>IF(ISNUMBER((NºAsuntos!C18+NºAsuntos!E18)/NºAsuntos!G18),(NºAsuntos!C18+NºAsuntos!E18)/NºAsuntos!G18," - ")</f>
        <v>5.1111111111111107</v>
      </c>
      <c r="G18" s="463"/>
    </row>
    <row r="19" spans="1:7" ht="15.75" customHeight="1" thickTop="1" thickBot="1">
      <c r="A19" s="793" t="str">
        <f>Datos!A19</f>
        <v>TOTAL JURISDICCIONES</v>
      </c>
      <c r="B19" s="808">
        <f>IF(ISNUMBER(NºAsuntos!G19/NºAsuntos!E19),NºAsuntos!G19/NºAsuntos!E19," - ")</f>
        <v>0.64526184538653364</v>
      </c>
      <c r="C19" s="809">
        <f>IF(ISNUMBER(NºAsuntos!I19/NºAsuntos!G19),NºAsuntos!I19/NºAsuntos!G19," - ")</f>
        <v>5.5207729468599034</v>
      </c>
      <c r="D19" s="810">
        <f>IF(ISNUMBER('Resol  Asuntos'!D19/NºAsuntos!G19),'Resol  Asuntos'!D19/NºAsuntos!G19," - ")</f>
        <v>0.15458937198067632</v>
      </c>
      <c r="E19" s="811">
        <f>IF(ISNUMBER((NºAsuntos!C19+NºAsuntos!E19)/NºAsuntos!G19),(NºAsuntos!C19+NºAsuntos!E19)/NºAsuntos!G19," - ")</f>
        <v>6.5207729468599034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OpRXpNhtMtHU3lEdaTMlmYCVUJx/KMcDRHmHjjP2l28SwakTkcfSBrucA2AxjsPpeSQtj+Sz7i6tVDb94PxvQ==" saltValue="tDjtTCE5TlvQQhJY0wSK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MOGUER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55</v>
      </c>
      <c r="Y12" s="334">
        <f t="shared" si="0"/>
        <v>55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2629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99</v>
      </c>
      <c r="AJ12" s="229" t="str">
        <f>IF(ISNUMBER(Datos!BW12),Datos!BW12," - ")</f>
        <v xml:space="preserve"> - </v>
      </c>
      <c r="AK12" s="228" t="str">
        <f>IF(ISNUMBER(Datos!BX12),Datos!BX12," - ")</f>
        <v xml:space="preserve"> - </v>
      </c>
      <c r="AL12" s="243">
        <f>IF(ISNUMBER(NºAsuntos!G12/NºAsuntos!E12),NºAsuntos!G12/NºAsuntos!E12," - ")</f>
        <v>0.59846547314578002</v>
      </c>
      <c r="AM12" s="260">
        <f>IF(ISNUMBER(((NºAsuntos!I12/NºAsuntos!G12)*11)/factor_trimestre),((NºAsuntos!I12/NºAsuntos!G12)*11)/factor_trimestre," - ")</f>
        <v>21.673076923076923</v>
      </c>
      <c r="AN12" s="244">
        <f>IF(ISNUMBER('Resol  Asuntos'!D12/NºAsuntos!G12),'Resol  Asuntos'!D12/NºAsuntos!G12," - ")</f>
        <v>0.21153846153846154</v>
      </c>
      <c r="AO12" s="245">
        <f>IF(ISNUMBER((NºAsuntos!C12+NºAsuntos!E12)/NºAsuntos!G12),(NºAsuntos!C12+NºAsuntos!E12)/NºAsuntos!G12," - ")</f>
        <v>8.2243589743589745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v>
      </c>
      <c r="G13" s="866">
        <f t="shared" si="3"/>
        <v>1</v>
      </c>
      <c r="H13" s="865">
        <f t="shared" si="3"/>
        <v>0</v>
      </c>
      <c r="I13" s="867">
        <f t="shared" si="3"/>
        <v>0</v>
      </c>
      <c r="J13" s="867">
        <f t="shared" si="3"/>
        <v>0</v>
      </c>
      <c r="K13" s="867">
        <f t="shared" si="3"/>
        <v>0</v>
      </c>
      <c r="L13" s="867">
        <f t="shared" si="3"/>
        <v>165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55</v>
      </c>
      <c r="Y13" s="868">
        <f t="shared" si="4"/>
        <v>55</v>
      </c>
      <c r="Z13" s="868">
        <f t="shared" si="4"/>
        <v>0</v>
      </c>
      <c r="AA13" s="868">
        <f t="shared" si="4"/>
        <v>2</v>
      </c>
      <c r="AB13" s="868">
        <f t="shared" si="4"/>
        <v>2629</v>
      </c>
      <c r="AC13" s="868">
        <f t="shared" si="4"/>
        <v>2</v>
      </c>
      <c r="AD13" s="868">
        <f t="shared" si="4"/>
        <v>0</v>
      </c>
      <c r="AE13" s="872">
        <f t="shared" si="4"/>
        <v>0</v>
      </c>
      <c r="AF13" s="865">
        <f t="shared" si="4"/>
        <v>0</v>
      </c>
      <c r="AG13" s="873">
        <f t="shared" si="4"/>
        <v>0</v>
      </c>
      <c r="AH13" s="870">
        <f t="shared" si="4"/>
        <v>0</v>
      </c>
      <c r="AI13" s="865">
        <f t="shared" si="4"/>
        <v>99</v>
      </c>
      <c r="AJ13" s="867">
        <f t="shared" si="4"/>
        <v>0</v>
      </c>
      <c r="AK13" s="870">
        <f>SUBTOTAL(9,AK9:AK12)</f>
        <v>0</v>
      </c>
      <c r="AL13" s="874">
        <f>IF(ISNUMBER(NºAsuntos!G13/NºAsuntos!E13),NºAsuntos!G13/NºAsuntos!E13," - ")</f>
        <v>0.5977011494252874</v>
      </c>
      <c r="AM13" s="874">
        <f>IF(ISNUMBER(((NºAsuntos!I13/NºAsuntos!G13)*11)/factor_trimestre),((NºAsuntos!I13/NºAsuntos!G13)*11)/factor_trimestre," - ")</f>
        <v>21.685897435897434</v>
      </c>
      <c r="AN13" s="875">
        <f>IF(ISNUMBER('Resol  Asuntos'!D13/NºAsuntos!G13),'Resol  Asuntos'!D13/NºAsuntos!G13," - ")</f>
        <v>0.21153846153846154</v>
      </c>
      <c r="AO13" s="876">
        <f>IF(ISNUMBER((NºAsuntos!C13+NºAsuntos!E13)/NºAsuntos!G13),(NºAsuntos!C13+NºAsuntos!E13)/NºAsuntos!G13," - ")</f>
        <v>8.2286324786324787</v>
      </c>
      <c r="AP13" s="877" t="str">
        <f t="shared" si="2"/>
        <v xml:space="preserve"> - </v>
      </c>
      <c r="AQ13" s="877">
        <f>IF(ISNUMBER((H13-W13+K13)/(F13)),(H13-W13+K13)/(F13)," - ")</f>
        <v>0</v>
      </c>
      <c r="AR13" s="878">
        <f>IF(ISNUMBER((Datos!P13-Datos!Q13)/(Datos!R13-Datos!P13+Datos!Q13)),(Datos!P13-Datos!Q13)/(Datos!R13-Datos!P13+Datos!Q13)," - ")</f>
        <v>4.3668122270742356E-2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1904</v>
      </c>
      <c r="G16" s="333">
        <f>IF(ISNUMBER(IF(D_I="SI",Datos!I16,Datos!I16+Datos!AC16)),IF(D_I="SI",Datos!I16,Datos!I16+Datos!AC16)," - ")</f>
        <v>1904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518</v>
      </c>
      <c r="X16" s="226">
        <f>IF(ISNUMBER(Datos!Q16),Datos!Q16," - ")</f>
        <v>2</v>
      </c>
      <c r="Y16" s="334">
        <f t="shared" ref="Y16:Y17" si="7">SUM(W16:X16)</f>
        <v>520</v>
      </c>
      <c r="Z16" s="335" t="str">
        <f>IF(ISNUMBER(Datos!CC16),Datos!CC16," - ")</f>
        <v xml:space="preserve"> - </v>
      </c>
      <c r="AA16" s="332">
        <f>IF(ISNUMBER(IF(D_I="SI",Datos!L16,Datos!L16+Datos!AF16)),IF(D_I="SI",Datos!L16,Datos!L16+Datos!AF16)," - ")</f>
        <v>2134</v>
      </c>
      <c r="AB16" s="334">
        <f>IF(ISNUMBER(Datos!R16),Datos!R16," - ")</f>
        <v>107</v>
      </c>
      <c r="AC16" s="334">
        <f t="shared" si="6"/>
        <v>2241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48</v>
      </c>
      <c r="AJ16" s="231" t="str">
        <f>IF(ISNUMBER(Datos!BW16),Datos!BW16," - ")</f>
        <v xml:space="preserve"> - </v>
      </c>
      <c r="AK16" s="232" t="str">
        <f>IF(ISNUMBER(Datos!BX16),Datos!BX16," - ")</f>
        <v xml:space="preserve"> - </v>
      </c>
      <c r="AL16" s="243">
        <f>IF(ISNUMBER(NºAsuntos!G16/NºAsuntos!E16),NºAsuntos!G16/NºAsuntos!E16," - ")</f>
        <v>0.69251336898395721</v>
      </c>
      <c r="AM16" s="260">
        <f>IF(ISNUMBER(((NºAsuntos!I16/NºAsuntos!G16)*11)/factor_trimestre),((NºAsuntos!I16/NºAsuntos!G16)*11)/factor_trimestre," - ")</f>
        <v>12.359073359073358</v>
      </c>
      <c r="AN16" s="244">
        <f>IF(ISNUMBER('Resol  Asuntos'!D16/NºAsuntos!G16),'Resol  Asuntos'!D16/NºAsuntos!G16," - ")</f>
        <v>9.2664092664092659E-2</v>
      </c>
      <c r="AO16" s="245">
        <f>IF(ISNUMBER((NºAsuntos!C16+NºAsuntos!E16)/NºAsuntos!G16),(NºAsuntos!C16+NºAsuntos!E16)/NºAsuntos!G16," - ")</f>
        <v>5.1196911196911197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49</v>
      </c>
      <c r="X17" s="226">
        <f>IF(ISNUMBER(Datos!Q17),Datos!Q17," - ")</f>
        <v>0</v>
      </c>
      <c r="Y17" s="334">
        <f t="shared" si="7"/>
        <v>49</v>
      </c>
      <c r="Z17" s="335" t="str">
        <f>IF(ISNUMBER(Datos!CC17),Datos!CC17," - ")</f>
        <v xml:space="preserve"> - </v>
      </c>
      <c r="AA17" s="332">
        <f>IF(ISNUMBER(Datos!L17),Datos!L17,"-")</f>
        <v>197</v>
      </c>
      <c r="AB17" s="334">
        <f>IF(ISNUMBER(Datos!R17),Datos!R17," - ")</f>
        <v>0</v>
      </c>
      <c r="AC17" s="334">
        <f t="shared" si="6"/>
        <v>197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0.67123287671232879</v>
      </c>
      <c r="AM17" s="260">
        <f>IF(ISNUMBER(((NºAsuntos!I17/NºAsuntos!G17)*11)/factor_trimestre),((NºAsuntos!I17/NºAsuntos!G17)*11)/factor_trimestre," - ")</f>
        <v>12.061224489795919</v>
      </c>
      <c r="AN17" s="244">
        <f>IF(ISNUMBER('Resol  Asuntos'!D17/NºAsuntos!G17),'Resol  Asuntos'!D17/NºAsuntos!G17," - ")</f>
        <v>0.26530612244897961</v>
      </c>
      <c r="AO17" s="245">
        <f>IF(ISNUMBER((NºAsuntos!C17+NºAsuntos!E17)/NºAsuntos!G17),(NºAsuntos!C17+NºAsuntos!E17)/NºAsuntos!G17," - ")</f>
        <v>5.0204081632653059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1904</v>
      </c>
      <c r="G18" s="866">
        <f>SUBTOTAL(9,G15:G17)</f>
        <v>2077</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567</v>
      </c>
      <c r="X18" s="867">
        <f t="shared" si="11"/>
        <v>2</v>
      </c>
      <c r="Y18" s="868">
        <f t="shared" si="11"/>
        <v>569</v>
      </c>
      <c r="Z18" s="868">
        <f t="shared" si="11"/>
        <v>0</v>
      </c>
      <c r="AA18" s="868">
        <f t="shared" si="11"/>
        <v>2331</v>
      </c>
      <c r="AB18" s="868">
        <f t="shared" si="11"/>
        <v>107</v>
      </c>
      <c r="AC18" s="868">
        <f t="shared" si="11"/>
        <v>2438</v>
      </c>
      <c r="AD18" s="868">
        <f t="shared" si="11"/>
        <v>0</v>
      </c>
      <c r="AE18" s="872">
        <f t="shared" si="11"/>
        <v>0</v>
      </c>
      <c r="AF18" s="865">
        <f t="shared" si="11"/>
        <v>0</v>
      </c>
      <c r="AG18" s="873">
        <f t="shared" si="11"/>
        <v>0</v>
      </c>
      <c r="AH18" s="870">
        <f t="shared" si="11"/>
        <v>0</v>
      </c>
      <c r="AI18" s="865">
        <f t="shared" si="11"/>
        <v>61</v>
      </c>
      <c r="AJ18" s="867">
        <f t="shared" si="11"/>
        <v>0</v>
      </c>
      <c r="AK18" s="870">
        <f t="shared" si="11"/>
        <v>0</v>
      </c>
      <c r="AL18" s="874">
        <f>IF(ISNUMBER(NºAsuntos!G18/NºAsuntos!E18),NºAsuntos!G18/NºAsuntos!E18," - ")</f>
        <v>0.69062119366626062</v>
      </c>
      <c r="AM18" s="874">
        <f>IF(ISNUMBER(((NºAsuntos!I18/NºAsuntos!G18)*11)/factor_trimestre),((NºAsuntos!I18/NºAsuntos!G18)*11)/factor_trimestre," - ")</f>
        <v>12.333333333333332</v>
      </c>
      <c r="AN18" s="875">
        <f>IF(ISNUMBER('Resol  Asuntos'!D18/NºAsuntos!G18),'Resol  Asuntos'!D18/NºAsuntos!G18," - ")</f>
        <v>0.10758377425044091</v>
      </c>
      <c r="AO18" s="876">
        <f>IF(ISNUMBER((NºAsuntos!C18+NºAsuntos!E18)/NºAsuntos!G18),(NºAsuntos!C18+NºAsuntos!E18)/NºAsuntos!G18," - ")</f>
        <v>5.1111111111111107</v>
      </c>
      <c r="AP18" s="877" t="str">
        <f t="shared" si="2"/>
        <v xml:space="preserve"> - </v>
      </c>
      <c r="AQ18" s="877">
        <f>IF(ISNUMBER((H18-W18+K18)/(F18)),(H18-W18+K18)/(F18)," - ")</f>
        <v>-0.29779411764705882</v>
      </c>
      <c r="AR18" s="878">
        <f>IF(ISNUMBER((Datos!P18-Datos!Q18)/(Datos!R18-Datos!P18+Datos!Q18)),(Datos!P18-Datos!Q18)/(Datos!R18-Datos!P18+Datos!Q18)," - ")</f>
        <v>-9.2592592592592587E-3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1905</v>
      </c>
      <c r="G19" s="821">
        <f t="shared" si="13"/>
        <v>2078</v>
      </c>
      <c r="H19" s="820">
        <f t="shared" si="13"/>
        <v>0</v>
      </c>
      <c r="I19" s="822">
        <f t="shared" si="13"/>
        <v>0</v>
      </c>
      <c r="J19" s="822">
        <f t="shared" si="13"/>
        <v>0</v>
      </c>
      <c r="K19" s="881">
        <f t="shared" si="13"/>
        <v>0</v>
      </c>
      <c r="L19" s="822">
        <f t="shared" si="13"/>
        <v>166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567</v>
      </c>
      <c r="X19" s="821">
        <f t="shared" si="14"/>
        <v>57</v>
      </c>
      <c r="Y19" s="828">
        <f t="shared" si="14"/>
        <v>624</v>
      </c>
      <c r="Z19" s="828">
        <f t="shared" si="14"/>
        <v>0</v>
      </c>
      <c r="AA19" s="828">
        <f t="shared" si="14"/>
        <v>2333</v>
      </c>
      <c r="AB19" s="828">
        <f t="shared" si="14"/>
        <v>2736</v>
      </c>
      <c r="AC19" s="828">
        <f t="shared" si="14"/>
        <v>2440</v>
      </c>
      <c r="AD19" s="828">
        <f t="shared" si="14"/>
        <v>0</v>
      </c>
      <c r="AE19" s="830">
        <f t="shared" si="14"/>
        <v>0</v>
      </c>
      <c r="AF19" s="831">
        <f t="shared" si="14"/>
        <v>0</v>
      </c>
      <c r="AG19" s="832">
        <f t="shared" si="14"/>
        <v>0</v>
      </c>
      <c r="AH19" s="830">
        <f t="shared" si="14"/>
        <v>0</v>
      </c>
      <c r="AI19" s="820">
        <f t="shared" si="14"/>
        <v>160</v>
      </c>
      <c r="AJ19" s="820">
        <f t="shared" si="14"/>
        <v>0</v>
      </c>
      <c r="AK19" s="830">
        <f t="shared" si="14"/>
        <v>0</v>
      </c>
      <c r="AL19" s="884">
        <f>IF(ISNUMBER(NºAsuntos!G19/NºAsuntos!E19),NºAsuntos!G19/NºAsuntos!E19," - ")</f>
        <v>0.64526184538653364</v>
      </c>
      <c r="AM19" s="885">
        <f>IF(ISNUMBER(((NºAsuntos!I19/NºAsuntos!G19)*11)/factor_trimestre),((NºAsuntos!I19/NºAsuntos!G19)*11)/factor_trimestre," - ")</f>
        <v>16.56231884057971</v>
      </c>
      <c r="AN19" s="885">
        <f>IF(ISNUMBER('Resol  Asuntos'!D19/NºAsuntos!G19),'Resol  Asuntos'!D19/NºAsuntos!G19," - ")</f>
        <v>0.15458937198067632</v>
      </c>
      <c r="AO19" s="886">
        <f>IF(ISNUMBER((NºAsuntos!C19+NºAsuntos!E19)/NºAsuntos!G19),(NºAsuntos!C19+NºAsuntos!E19)/NºAsuntos!G19," - ")</f>
        <v>6.5207729468599034</v>
      </c>
      <c r="AP19" s="887" t="str">
        <f t="shared" si="2"/>
        <v xml:space="preserve"> - </v>
      </c>
      <c r="AQ19" s="888">
        <f>IF(OR(ISNUMBER(FIND("01",Criterios!A8,1)),ISNUMBER(FIND("02",Criterios!A8,1)),ISNUMBER(FIND("03",Criterios!A8,1)),ISNUMBER(FIND("04",Criterios!A8,1))),(I19-W19+K19)/(F19-K19),(H19-W19+K19)/(F19-K19))</f>
        <v>-0.29763779527559053</v>
      </c>
      <c r="AR19" s="889">
        <f>IF(ISNUMBER((Datos!P19-Datos!Q19)/(Datos!R19-Datos!P19+Datos!Q19)),(Datos!P19-Datos!Q19)/(Datos!R19-Datos!P19+Datos!Q19)," - ")</f>
        <v>4.1492196421773889E-2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831.2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1098.6975622678578</v>
      </c>
      <c r="G21" s="253">
        <f>IF(ISNUMBER(STDEV(G8:G18)),STDEV(G8:G18),"-")</f>
        <v>1062.3804403319932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289.40577050224829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41.783569338517097</v>
      </c>
      <c r="AJ21" s="252">
        <f t="shared" si="18"/>
        <v>0</v>
      </c>
      <c r="AK21" s="254">
        <f t="shared" si="18"/>
        <v>0</v>
      </c>
      <c r="AL21" s="249">
        <f t="shared" si="18"/>
        <v>0.26888595330195353</v>
      </c>
      <c r="AM21" s="250">
        <f t="shared" si="18"/>
        <v>5.1654002554001028</v>
      </c>
      <c r="AN21" s="250">
        <f t="shared" si="18"/>
        <v>7.4351030375032864E-2</v>
      </c>
      <c r="AO21" s="251">
        <f t="shared" si="18"/>
        <v>1.7218000851333617</v>
      </c>
      <c r="AP21" s="291" t="str">
        <f t="shared" si="18"/>
        <v>-</v>
      </c>
      <c r="AQ21" s="292">
        <f t="shared" si="18"/>
        <v>0.21057223998569979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IY2E8KkP5dgePZxKev32oTpO5dYeOaP6zFBxYHquNcuobgghzkEZf4G8mRPA8WYGXZNYfpPH9Y29HCqV+FFh5Q==" saltValue="1+4mszsNx2aHAvWIRwCS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MOGUER</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0.13793103448275862</v>
      </c>
      <c r="I12" s="350">
        <f>IF(ISNUMBER((Tasas!C12-Datos!BE12)/Datos!BE12),(Tasas!C12-Datos!BE12)/Datos!BE12," - ")</f>
        <v>0.87158050786173269</v>
      </c>
      <c r="J12" s="349">
        <f>IF(ISNUMBER((Tasas!D12-Datos!BF12)/Datos!BF12),(Tasas!D12-Datos!BF12)/Datos!BF12," - ")</f>
        <v>-0.16552619159981119</v>
      </c>
      <c r="K12" s="351">
        <f>IF(ISNUMBER((Tasas!E12-Datos!BG12)/Datos!BG12),(Tasas!E12-Datos!BG12)/Datos!BG12," - ")</f>
        <v>0.69224410256410274</v>
      </c>
      <c r="M12" t="e">
        <f>IF(Monitorios="SI",Datos!CE12,0)</f>
        <v>#REF!</v>
      </c>
      <c r="N12" t="e">
        <f>IF(Monitorios="SI",Datos!CF12,0)</f>
        <v>#REF!</v>
      </c>
      <c r="O12" t="e">
        <f>IF(Monitorios="SI",Datos!CG12,0)</f>
        <v>#REF!</v>
      </c>
      <c r="P12" t="e">
        <f>IF(Monitorios="SI",Datos!CH12,0)</f>
        <v>#REF!</v>
      </c>
      <c r="Q12">
        <f>IF(J_V="SI",0,Datos!AG12)</f>
        <v>45</v>
      </c>
      <c r="R12">
        <f>IF(J_V="SI",0,Datos!AH12)</f>
        <v>25</v>
      </c>
      <c r="S12">
        <f>IF(J_V="SI",0,Datos!AI12)</f>
        <v>20</v>
      </c>
      <c r="T12">
        <f>IF(J_V="SI",0,Datos!AJ12)</f>
        <v>50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0.13793103448275862</v>
      </c>
      <c r="I13" s="357">
        <f>IF(ISNUMBER((Tasas!C13-Datos!BE13)/Datos!BE13),(Tasas!C13-Datos!BE13)/Datos!BE13," - ")</f>
        <v>0.87193342076547875</v>
      </c>
      <c r="J13" s="355">
        <f>IF(ISNUMBER((Tasas!D13-Datos!BF13)/Datos!BF13),(Tasas!D13-Datos!BF13)/Datos!BF13," - ")</f>
        <v>-0.16552619159981119</v>
      </c>
      <c r="K13" s="358">
        <f>IF(ISNUMBER((Tasas!E13-Datos!BG13)/Datos!BG13),(Tasas!E13-Datos!BG13)/Datos!BG13," - ")</f>
        <v>0.69258179262977726</v>
      </c>
      <c r="M13" t="e">
        <f>IF(Monitorios="SI",Datos!CE13,0)</f>
        <v>#REF!</v>
      </c>
      <c r="N13" t="e">
        <f>IF(Monitorios="SI",Datos!CF13,0)</f>
        <v>#REF!</v>
      </c>
      <c r="O13" t="e">
        <f>IF(Monitorios="SI",Datos!CG13,0)</f>
        <v>#REF!</v>
      </c>
      <c r="P13" t="e">
        <f>IF(Monitorios="SI",Datos!CH13,0)</f>
        <v>#REF!</v>
      </c>
      <c r="Q13">
        <f>IF(J_V="SI",0,Datos!AG13)</f>
        <v>45</v>
      </c>
      <c r="R13">
        <f>IF(J_V="SI",0,Datos!AH13)</f>
        <v>25</v>
      </c>
      <c r="S13">
        <f>IF(J_V="SI",0,Datos!AI13)</f>
        <v>20</v>
      </c>
      <c r="T13">
        <f>IF(J_V="SI",0,Datos!AJ13)</f>
        <v>50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0.20582647245091831</v>
      </c>
      <c r="E16" s="348">
        <f>IF(ISNUMBER(
   IF(D_I="SI",(Datos!J16-Datos!T16)/Datos!T16,(Datos!J16+Datos!AD16-(Datos!T16+Datos!AL16))/(Datos!T16+Datos!AL16))
     ),IF(D_I="SI",(Datos!J16-Datos!T16)/Datos!T16,(Datos!J16+Datos!AD16-(Datos!T16+Datos!AL16))/(Datos!T16+Datos!AL16))," - ")</f>
        <v>0.19298245614035087</v>
      </c>
      <c r="F16" s="348">
        <f>IF(ISNUMBER(
   IF(D_I="SI",(Datos!K16-Datos!U16)/Datos!U16,(Datos!K16+Datos!AE16-(Datos!U16+Datos!AM16))/(Datos!U16+Datos!AM16))
     ),IF(D_I="SI",(Datos!K16-Datos!U16)/Datos!U16,(Datos!K16+Datos!AE16-(Datos!U16+Datos!AM16))/(Datos!U16+Datos!AM16))," - ")</f>
        <v>-4.779411764705882E-2</v>
      </c>
      <c r="G16" s="349">
        <f>IF(ISNUMBER(
   IF(D_I="SI",(Datos!L16-Datos!V16)/Datos!V16,(Datos!L16+Datos!AF16-(Datos!V16+Datos!AN16))/(Datos!V16+Datos!AN16))
     ),IF(D_I="SI",(Datos!L16-Datos!V16)/Datos!V16,(Datos!L16+Datos!AF16-(Datos!V16+Datos!AN16))/(Datos!V16+Datos!AN16))," - ")</f>
        <v>0.28399518652226236</v>
      </c>
      <c r="H16" s="230">
        <f>IF(ISNUMBER((Datos!M16-Datos!W16)/Datos!W16),(Datos!M16-Datos!W16)/Datos!W16," - ")</f>
        <v>-0.61904761904761907</v>
      </c>
      <c r="I16" s="350">
        <f>IF(ISNUMBER((Tasas!C16-Datos!BE16)/Datos!BE16),(Tasas!C16-Datos!BE16)/Datos!BE16," - ")</f>
        <v>0.34844282136700905</v>
      </c>
      <c r="J16" s="349">
        <f>IF(ISNUMBER((Tasas!D16-Datos!BF16)/Datos!BF16),(Tasas!D16-Datos!BF16)/Datos!BF16," - ")</f>
        <v>-0.59992645706931436</v>
      </c>
      <c r="K16" s="351">
        <f>IF(ISNUMBER((Tasas!E16-Datos!BG16)/Datos!BG16),(Tasas!E16-Datos!BG16)/Datos!BG16," - ")</f>
        <v>0.26251675843697614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0.82105263157894737</v>
      </c>
      <c r="E17" s="348">
        <f>IF(ISNUMBER(
   IF(D_I="SI",(Datos!J17-Datos!T17)/Datos!T17,(Datos!J17+Datos!AD17-(Datos!T17+Datos!AL17))/(Datos!T17+Datos!AL17))
     ),IF(D_I="SI",(Datos!J17-Datos!T17)/Datos!T17,(Datos!J17+Datos!AD17-(Datos!T17+Datos!AL17))/(Datos!T17+Datos!AL17))," - ")</f>
        <v>0.17741935483870969</v>
      </c>
      <c r="F17" s="348">
        <f>IF(ISNUMBER(
   IF(D_I="SI",(Datos!K17-Datos!U17)/Datos!U17,(Datos!K17+Datos!AE17-(Datos!U17+Datos!AM17))/(Datos!U17+Datos!AM17))
     ),IF(D_I="SI",(Datos!K17-Datos!U17)/Datos!U17,(Datos!K17+Datos!AE17-(Datos!U17+Datos!AM17))/(Datos!U17+Datos!AM17))," - ")</f>
        <v>0.58064516129032262</v>
      </c>
      <c r="G17" s="349">
        <f>IF(ISNUMBER(
   IF(D_I="SI",(Datos!L17-Datos!V17)/Datos!V17,(Datos!L17+Datos!AF17-(Datos!V17+Datos!AN17))/(Datos!V17+Datos!AN17))
     ),IF(D_I="SI",(Datos!L17-Datos!V17)/Datos!V17,(Datos!L17+Datos!AF17-(Datos!V17+Datos!AN17))/(Datos!V17+Datos!AN17))," - ")</f>
        <v>0.56349206349206349</v>
      </c>
      <c r="H17" s="230">
        <f>IF(ISNUMBER((Datos!M17-Datos!W17)/Datos!W17),(Datos!M17-Datos!W17)/Datos!W17," - ")</f>
        <v>0.8571428571428571</v>
      </c>
      <c r="I17" s="350">
        <f>IF(ISNUMBER((Tasas!C17-Datos!BE17)/Datos!BE17),(Tasas!C17-Datos!BE17)/Datos!BE17," - ")</f>
        <v>-1.0851959831551704E-2</v>
      </c>
      <c r="J17" s="349">
        <f>IF(ISNUMBER((Tasas!D17-Datos!BF17)/Datos!BF17),(Tasas!D17-Datos!BF17)/Datos!BF17," - ")</f>
        <v>0.17492711370262401</v>
      </c>
      <c r="K17" s="351">
        <f>IF(ISNUMBER((Tasas!E17-Datos!BG17)/Datos!BG17),(Tasas!E17-Datos!BG17)/Datos!BG17," - ")</f>
        <v>-8.7092161705446796E-3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0.24074074074074073</v>
      </c>
      <c r="E18" s="354">
        <f>IF(ISNUMBER(
   IF(D_I="SI",(Datos!J18-Datos!T18)/Datos!T18,(Datos!J18+Datos!AD18-(Datos!T18+Datos!AL18))/(Datos!T18+Datos!AL18))
     ),IF(D_I="SI",(Datos!J18-Datos!T18)/Datos!T18,(Datos!J18+Datos!AD18-(Datos!T18+Datos!AL18))/(Datos!T18+Datos!AL18))," - ")</f>
        <v>0.19158200290275762</v>
      </c>
      <c r="F18" s="354">
        <f>IF(ISNUMBER(
   IF(D_I="SI",(Datos!K18-Datos!U18)/Datos!U18,(Datos!K18+Datos!AE18-(Datos!U18+Datos!AM18))/(Datos!U18+Datos!AM18))
     ),IF(D_I="SI",(Datos!K18-Datos!U18)/Datos!U18,(Datos!K18+Datos!AE18-(Datos!U18+Datos!AM18))/(Datos!U18+Datos!AM18))," - ")</f>
        <v>-1.391304347826087E-2</v>
      </c>
      <c r="G18" s="355">
        <f>IF(ISNUMBER(
   IF(D_I="SI",(Datos!L18-Datos!V18)/Datos!V18,(Datos!L18+Datos!AF18-(Datos!V18+Datos!AN18))/(Datos!V18+Datos!AN18))
     ),IF(D_I="SI",(Datos!L18-Datos!V18)/Datos!V18,(Datos!L18+Datos!AF18-(Datos!V18+Datos!AN18))/(Datos!V18+Datos!AN18))," - ")</f>
        <v>0.30369127516778521</v>
      </c>
      <c r="H18" s="356">
        <f>IF(ISNUMBER((Datos!M18-Datos!W18)/Datos!W18),(Datos!M18-Datos!W18)/Datos!W18," - ")</f>
        <v>-0.54135338345864659</v>
      </c>
      <c r="I18" s="357">
        <f>IF(ISNUMBER((Tasas!C18-Datos!BE18)/Datos!BE18),(Tasas!C18-Datos!BE18)/Datos!BE18," - ")</f>
        <v>0.32208550832711891</v>
      </c>
      <c r="J18" s="355">
        <f>IF(ISNUMBER((Tasas!D18-Datos!BF18)/Datos!BF18),(Tasas!D18-Datos!BF18)/Datos!BF18," - ")</f>
        <v>-0.53488217899245472</v>
      </c>
      <c r="K18" s="358">
        <f>IF(ISNUMBER((Tasas!E18-Datos!BG18)/Datos!BG18),(Tasas!E18-Datos!BG18)/Datos!BG18," - ")</f>
        <v>0.24371091362204356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0.24065589582830962</v>
      </c>
      <c r="E19" s="363">
        <f>IF(ISNUMBER(
   IF(J_V="SI",(Datos!J19-Datos!T19)/Datos!T19,(Datos!J19+Datos!Z19-(Datos!T19+Datos!AH19))/(Datos!T19+Datos!AH19))
     ),IF(J_V="SI",(Datos!J19-Datos!T19)/Datos!T19,(Datos!J19+Datos!Z19-(Datos!T19+Datos!AH19))/(Datos!T19+Datos!AH19))," - ")</f>
        <v>0.19523099850968703</v>
      </c>
      <c r="F19" s="363">
        <f>IF(ISNUMBER(
   IF(J_V="SI",(Datos!K19-Datos!U19)/Datos!U19,(Datos!K19+Datos!AA19-(Datos!U19+Datos!AI19))/(Datos!U19+Datos!AI19))
     ),IF(J_V="SI",(Datos!K19-Datos!U19)/Datos!U19,(Datos!K19+Datos!AA19-(Datos!U19+Datos!AI19))/(Datos!U19+Datos!AI19))," - ")</f>
        <v>-0.15024630541871922</v>
      </c>
      <c r="G19" s="364">
        <f>IF(ISNUMBER(
   IF(J_V="SI",(Datos!L19-Datos!V19)/Datos!V19,(Datos!L19+Datos!AB19-(Datos!V19+Datos!AJ19))/(Datos!V19+Datos!AJ19))
     ),IF(J_V="SI",(Datos!L19-Datos!V19)/Datos!V19,(Datos!L19+Datos!AB19-(Datos!V19+Datos!AJ19))/(Datos!V19+Datos!AJ19))," - ")</f>
        <v>0.33785998595176775</v>
      </c>
      <c r="H19" s="365">
        <f>IF(ISNUMBER((Datos!M19-Datos!W19)/Datos!W19),(Datos!M19-Datos!W19)/Datos!W19," - ")</f>
        <v>-0.27272727272727271</v>
      </c>
      <c r="I19" s="362">
        <f>IF(ISNUMBER((Tasas!C19-Datos!BE19)/Datos!BE19),(Tasas!C19-Datos!BE19)/Datos!BE19," - ")</f>
        <v>0.57440914288816725</v>
      </c>
      <c r="J19" s="363">
        <f>IF(ISNUMBER((Tasas!D19-Datos!BF19)/Datos!BF19),(Tasas!D19-Datos!BF19)/Datos!BF19," - ")</f>
        <v>-0.36388562475519004</v>
      </c>
      <c r="K19" s="364">
        <f>IF(ISNUMBER((Tasas!E19-Datos!BG19)/Datos!BG19),(Tasas!E19-Datos!BG19)/Datos!BG19," - ")</f>
        <v>0.44694870637190043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0.34556333805682554</v>
      </c>
      <c r="E21" s="278">
        <f t="shared" si="1"/>
        <v>9.3927397350808725E-2</v>
      </c>
      <c r="F21" s="278">
        <f t="shared" si="1"/>
        <v>0.35345516296408519</v>
      </c>
      <c r="G21" s="279">
        <f t="shared" si="1"/>
        <v>0.33342300480431908</v>
      </c>
      <c r="H21" s="285">
        <f t="shared" si="1"/>
        <v>0.60184656465087483</v>
      </c>
      <c r="I21" s="277">
        <f t="shared" si="1"/>
        <v>0.38409796577499061</v>
      </c>
      <c r="J21" s="278">
        <f t="shared" si="1"/>
        <v>0.31547819453593756</v>
      </c>
      <c r="K21" s="279">
        <f t="shared" si="1"/>
        <v>0.30765780265246789</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7pp3QQVyWohZ0Ri0rdPogs7AA+VyIGPKucSJBiQKxb5s3fmwL31CbapGRlaFdz8PhN+u70tYpxFc9FN0wrPGjw==" saltValue="k9pr7qPJ3QZaIiyHmMBP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2025-06-03T18:00:58Z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